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Allgemein\Preislisten\Blechsortiment\Preisliste G+P Blechsortiment\"/>
    </mc:Choice>
  </mc:AlternateContent>
  <xr:revisionPtr revIDLastSave="0" documentId="13_ncr:1_{E0F0ED5E-F9E5-498B-A301-05CF686B7265}" xr6:coauthVersionLast="47" xr6:coauthVersionMax="47" xr10:uidLastSave="{00000000-0000-0000-0000-000000000000}"/>
  <bookViews>
    <workbookView xWindow="34560" yWindow="2494" windowWidth="30729" windowHeight="14915" tabRatio="892" xr2:uid="{00000000-000D-0000-FFFF-FFFF00000000}"/>
  </bookViews>
  <sheets>
    <sheet name="Inhaltsverzeichnis" sheetId="11" r:id="rId1"/>
    <sheet name="Kupfer Entwässerung" sheetId="1" r:id="rId2"/>
    <sheet name="Uginox Entwässerung" sheetId="3" r:id="rId3"/>
    <sheet name="Zink Entwässerung" sheetId="2" r:id="rId4"/>
    <sheet name="Verzinkt Entwässerung" sheetId="6" r:id="rId5"/>
    <sheet name="ALUSTAR Entwässerung" sheetId="8" r:id="rId6"/>
    <sheet name="Bänder - Tafeln" sheetId="5" r:id="rId7"/>
    <sheet name="Zubehör Blechdach" sheetId="4" r:id="rId8"/>
    <sheet name="Bedachungsartikel" sheetId="7" r:id="rId9"/>
    <sheet name="LORO-Polybit" sheetId="13" r:id="rId10"/>
    <sheet name="Spenglerwerkzeug" sheetId="10" r:id="rId11"/>
    <sheet name="Gewichtsübersicht" sheetId="9" r:id="rId12"/>
    <sheet name="Diverse Notizen" sheetId="12" state="hidden" r:id="rId13"/>
  </sheets>
  <definedNames>
    <definedName name="_xlnm._FilterDatabase" localSheetId="12" hidden="1">'Diverse Notizen'!$A$3:$E$12</definedName>
    <definedName name="_xlnm._FilterDatabase" localSheetId="0" hidden="1">Inhaltsverzeichnis!$A$1:$M$37</definedName>
    <definedName name="AluAblaufrohr">'ALUSTAR Entwässerung'!$B$11</definedName>
    <definedName name="AluBandbesch">'Bänder - Tafeln'!$B$120</definedName>
    <definedName name="AluBandBeschPalmer">'Bänder - Tafeln'!$B$112</definedName>
    <definedName name="AluBandblank">'Bänder - Tafeln'!$B$92</definedName>
    <definedName name="AluBandLochblech">'Bänder - Tafeln'!$B$104</definedName>
    <definedName name="AluBandRiffel">'Bänder - Tafeln'!$B$108</definedName>
    <definedName name="AluBandTafelbesch">'Bänder - Tafeln'!$B$142</definedName>
    <definedName name="AluBandTafeln">'Bänder - Tafeln'!$B$98</definedName>
    <definedName name="AluBogen">'ALUSTAR Entwässerung'!$B$87</definedName>
    <definedName name="AluDachrinne">'ALUSTAR Entwässerung'!$B$3</definedName>
    <definedName name="AluEinhang">'ALUSTAR Entwässerung'!$B$71</definedName>
    <definedName name="AluFallrohrabzweig">'ALUSTAR Entwässerung'!$B$129</definedName>
    <definedName name="AluLochbesch">'Bänder - Tafeln'!$B$116</definedName>
    <definedName name="AluLochblech">'Bänder - Tafeln'!$B$104</definedName>
    <definedName name="AluRegenwasser">'ALUSTAR Entwässerung'!$B$153</definedName>
    <definedName name="AluRiffel">'Bänder - Tafeln'!$B$108</definedName>
    <definedName name="AluRinne">'ALUSTAR Entwässerung'!$B$3</definedName>
    <definedName name="AluRinnenboden">'ALUSTAR Entwässerung'!$B$51</definedName>
    <definedName name="AluRinnendilla">'ALUSTAR Entwässerung'!$B$63</definedName>
    <definedName name="AluRinnenhaken">'ALUSTAR Entwässerung'!$B$21</definedName>
    <definedName name="AluRinnenwinkel">'ALUSTAR Entwässerung'!$B$35</definedName>
    <definedName name="AluRohrschelle">'ALUSTAR Entwässerung'!$B$139</definedName>
    <definedName name="AluStand">'ALUSTAR Entwässerung'!$B$169</definedName>
    <definedName name="AluSteck">'ALUSTAR Entwässerung'!$B$183</definedName>
    <definedName name="AluTafelbesch">'Bänder - Tafeln'!$B$142</definedName>
    <definedName name="AluWasserfang">'ALUSTAR Entwässerung'!$B$79</definedName>
    <definedName name="AluWassersammler">'ALUSTAR Entwässerung'!$B$161</definedName>
    <definedName name="BedachungAufdachmodulhalter">Bedachungsartikel!$B$155</definedName>
    <definedName name="BedachungLaufstehhalter">Bedachungsartikel!$B$47</definedName>
    <definedName name="BedachungMetalldachfenster">Bedachungsartikel!$B$143</definedName>
    <definedName name="BedachungMetalldachplatte">Bedachungsartikel!$B$25</definedName>
    <definedName name="BedachungRohrhalter">Bedachungsartikel!$B$71</definedName>
    <definedName name="BedachungRost">Bedachungsartikel!$B$99</definedName>
    <definedName name="BedachungRundholzhalter">Bedachungsartikel!$B$63</definedName>
    <definedName name="BedachungSchneefanggitter">Bedachungsartikel!$B$3</definedName>
    <definedName name="BedachungSchneefanghalter">Bedachungsartikel!$B$55</definedName>
    <definedName name="BedachungSchneefangUniversal">Bedachungsartikel!$B$79</definedName>
    <definedName name="BedachungSicherheitsdachhaken">Bedachungsartikel!$B$87</definedName>
    <definedName name="Dichtblindnieten">'Zubehör Blechdach'!$B$55</definedName>
    <definedName name="_xlnm.Print_Area" localSheetId="5">'ALUSTAR Entwässerung'!$A$1:$N$193</definedName>
    <definedName name="_xlnm.Print_Area" localSheetId="6">'Bänder - Tafeln'!$A$1:$L$171</definedName>
    <definedName name="_xlnm.Print_Area" localSheetId="8">Bedachungsartikel!$A$1:$N$174</definedName>
    <definedName name="_xlnm.Print_Area" localSheetId="12">'Diverse Notizen'!$A$1:$E$25</definedName>
    <definedName name="_xlnm.Print_Area" localSheetId="11">Gewichtsübersicht!$A$1:$L$226</definedName>
    <definedName name="_xlnm.Print_Area" localSheetId="0">Inhaltsverzeichnis!$A$1:$L$37</definedName>
    <definedName name="_xlnm.Print_Area" localSheetId="1">'Kupfer Entwässerung'!$A$1:$P$395</definedName>
    <definedName name="_xlnm.Print_Area" localSheetId="9">'LORO-Polybit'!$A$1:$N$73</definedName>
    <definedName name="_xlnm.Print_Area" localSheetId="10">Spenglerwerkzeug!$A$1:$M$205</definedName>
    <definedName name="_xlnm.Print_Area" localSheetId="2">'Uginox Entwässerung'!$A$1:$L$216</definedName>
    <definedName name="_xlnm.Print_Area" localSheetId="4">'Verzinkt Entwässerung'!$A$1:$N$27</definedName>
    <definedName name="_xlnm.Print_Area" localSheetId="3">'Zink Entwässerung'!$A$1:$N$276</definedName>
    <definedName name="_xlnm.Print_Area" localSheetId="7">'Zubehör Blechdach'!$A$1:$K$214</definedName>
    <definedName name="EdelstahlBandblank">'Bänder - Tafeln'!$B$78</definedName>
    <definedName name="EdelstahlBandTafelblank">'Bänder - Tafeln'!$B$86</definedName>
    <definedName name="FehlendesSortiment">'Diverse Notizen'!$A$1</definedName>
    <definedName name="GewichtAluRiffel">Gewichtsübersicht!$A$44</definedName>
    <definedName name="GewichtBandAlu">Gewichtsübersicht!$A$192</definedName>
    <definedName name="GewichtBandEdelstahl">Gewichtsübersicht!$A$148</definedName>
    <definedName name="GewichtBandKupfer">Gewichtsübersicht!$A$55</definedName>
    <definedName name="GewichtBandUginox">Gewichtsübersicht!$A$168</definedName>
    <definedName name="GewichtBandVerzinkt">Gewichtsübersicht!$A$112</definedName>
    <definedName name="GewichtBandZink">Gewichtsübersicht!$A$86</definedName>
    <definedName name="GewichtTafeln">Gewichtsübersicht!$A$3</definedName>
    <definedName name="hyperlink">Inhaltsverzeichnis!$B$4</definedName>
    <definedName name="KuferSockelknie">'Kupfer Entwässerung'!$B$313</definedName>
    <definedName name="Kupfer">'Bänder - Tafeln'!$B$1</definedName>
    <definedName name="Kupferablaufrohre">'Kupfer Entwässerung'!$B$93</definedName>
    <definedName name="KupferAblaufrohrschelle">'Kupfer Entwässerung'!$B$335</definedName>
    <definedName name="KupferBand">'Bänder - Tafeln'!$B$1</definedName>
    <definedName name="KupferBandLochblech">'Bänder - Tafeln'!$B$22</definedName>
    <definedName name="KupferBandTafel">'Bänder - Tafeln'!$B$16</definedName>
    <definedName name="Kupferdachrinne">'Kupfer Entwässerung'!$B$1</definedName>
    <definedName name="Kupferdachrinnen">'Kupfer Entwässerung'!$B$1</definedName>
    <definedName name="KupferEinhang">'Kupfer Entwässerung'!$B$253</definedName>
    <definedName name="KupferFallrohrabzweig">'Kupfer Entwässerung'!$B$323</definedName>
    <definedName name="Kupferkastendachrinnen">'Kupfer Entwässerung'!$B$49</definedName>
    <definedName name="KupferKastenEinhang">'Kupfer Entwässerung'!$B$265</definedName>
    <definedName name="KupferKastenRinnenboden">'Kupfer Entwässerung'!$B$225</definedName>
    <definedName name="KupferKastenRinnendilla">'Kupfer Entwässerung'!$B$241</definedName>
    <definedName name="KupferKastenrinnenwinkel">'Kupfer Entwässerung'!$B$193</definedName>
    <definedName name="KupferLochblech">'Bänder - Tafeln'!$B$22</definedName>
    <definedName name="KupferReduzierung">'Kupfer Entwässerung'!$B$381</definedName>
    <definedName name="KupferRegenwasserklappe">'Kupfer Entwässerung'!$B$347</definedName>
    <definedName name="Kupferrinnenboden">'Kupfer Entwässerung'!$B$217</definedName>
    <definedName name="Kupferrinnendilla">'Kupfer Entwässerung'!$B$233</definedName>
    <definedName name="Kupferrinnenwinkel">'Kupfer Entwässerung'!$B$161</definedName>
    <definedName name="KupferRohrbogen">'Kupfer Entwässerung'!$B$285</definedName>
    <definedName name="Kupferrolafix">'Kupfer Entwässerung'!$B$357</definedName>
    <definedName name="KupferStand">'Kupfer Entwässerung'!$B$373</definedName>
    <definedName name="KupferSteckmuffe">'Kupfer Entwässerung'!$B$387</definedName>
    <definedName name="KupferummKastenRinnenhaken">'Kupfer Entwässerung'!$B$151</definedName>
    <definedName name="Kupferummrinnenhaken">'Kupfer Entwässerung'!$B$139</definedName>
    <definedName name="KupferWasserfang">'Kupfer Entwässerung'!$B$275</definedName>
    <definedName name="KupferWassersammler">'Kupfer Entwässerung'!$B$365</definedName>
    <definedName name="LORO">'LORO-Polybit'!$A$1</definedName>
    <definedName name="LOROAnschluss">'LORO-Polybit'!$B$27</definedName>
    <definedName name="LORObogen">'LORO-Polybit'!$B$21</definedName>
    <definedName name="LORODicht">'LORO-Polybit'!$B$33</definedName>
    <definedName name="LOROGleit">'LORO-Polybit'!$B$51</definedName>
    <definedName name="LORORegenstandrohrMIT">'LORO-Polybit'!$B$3</definedName>
    <definedName name="LOROregenstandrohrOHNE">'LORO-Polybit'!$B$9</definedName>
    <definedName name="LORORohr">'LORO-Polybit'!$B$15</definedName>
    <definedName name="LORORosch">'LORO-Polybit'!$B$39</definedName>
    <definedName name="LOROSIEB">'LORO-Polybit'!$B$67</definedName>
    <definedName name="LOROVERBINDER">'LORO-Polybit'!$B$45</definedName>
    <definedName name="LOROWASSER">'LORO-Polybit'!$B$59</definedName>
    <definedName name="MASCBlechknabber">Spenglerwerkzeug!$B$177</definedName>
    <definedName name="MASCMontageeisen">Spenglerwerkzeug!$B$183</definedName>
    <definedName name="MASCÖsenschraubendreher">Spenglerwerkzeug!$B$201</definedName>
    <definedName name="MASCRinnenzwinge">Spenglerwerkzeug!$B$189</definedName>
    <definedName name="MASCStockschraubeneindreher">Spenglerwerkzeug!$B$195</definedName>
    <definedName name="MASCWulstausbeuler">Spenglerwerkzeug!$B$171</definedName>
    <definedName name="Name">'Kupfer Entwässerung'!$A$1:$N$395</definedName>
    <definedName name="Rinnenhaken">'Verzinkt Entwässerung'!$B$3</definedName>
    <definedName name="Rundholz">Bedachungsartikel!$B$19</definedName>
    <definedName name="SchneefangRohr322">'Zubehör Blechdach'!$B$87</definedName>
    <definedName name="STUBAIAhle">Spenglerwerkzeug!$B$147</definedName>
    <definedName name="STUBAIAnreißschablone">Spenglerwerkzeug!$B$129</definedName>
    <definedName name="STUBAIBogenzirkel">Spenglerwerkzeug!$B$135</definedName>
    <definedName name="STUBAIDachrinnenzange">Spenglerwerkzeug!$B$79</definedName>
    <definedName name="STUBAIDeckzange">Spenglerwerkzeug!$B$85</definedName>
    <definedName name="STUBAIFalzzange">Spenglerwerkzeug!$B$39</definedName>
    <definedName name="STUBAIFlachzange">Spenglerwerkzeug!$B$21</definedName>
    <definedName name="STUBAIHammer">Spenglerwerkzeug!$B$109</definedName>
    <definedName name="STUBAILötwasserflasche">Spenglerwerkzeug!$B$159</definedName>
    <definedName name="STUBAIQuetzfalzzange">Spenglerwerkzeug!$B$73</definedName>
    <definedName name="STUBAIReißnadel">Spenglerwerkzeug!$B$141</definedName>
    <definedName name="STUBAIRestrollenklammer">Spenglerwerkzeug!$B$165</definedName>
    <definedName name="STUBAIRinnenschnurr">Spenglerwerkzeug!$B$153</definedName>
    <definedName name="STUBAIRundlochschere">Spenglerwerkzeug!$B$33</definedName>
    <definedName name="STUBAIRundzange">Spenglerwerkzeug!$B$27</definedName>
    <definedName name="STUBAISchaleisen">Spenglerwerkzeug!$B$91</definedName>
    <definedName name="STUBAISchere">Spenglerwerkzeug!$B$3</definedName>
    <definedName name="STUBAITraufenschließer">Spenglerwerkzeug!$B$103</definedName>
    <definedName name="STUBAIWinkeldoppelfalzer">Spenglerwerkzeug!$B$97</definedName>
    <definedName name="STUBAIZange">Spenglerwerkzeug!$B$39</definedName>
    <definedName name="UgiAblaufrohre">'Uginox Entwässerung'!$B$23</definedName>
    <definedName name="UgiDachrinne">'Uginox Entwässerung'!$B$3</definedName>
    <definedName name="UgiEinhang">'Uginox Entwässerung'!$B$103</definedName>
    <definedName name="UgiFallrohr">'Uginox Entwässerung'!$B$159</definedName>
    <definedName name="UginoxBand">'Bänder - Tafeln'!$B$28</definedName>
    <definedName name="UginoxBandLochblech">'Bänder - Tafeln'!$B$44</definedName>
    <definedName name="UginoxBandTafeln">'Bänder - Tafeln'!$B$40</definedName>
    <definedName name="UginoxLochblech">'Bänder - Tafeln'!$B$44</definedName>
    <definedName name="UginoxRedu">'Uginox Entwässerung'!$B$213</definedName>
    <definedName name="UginoxReduzierung">'Uginox Entwässerung'!$B$214</definedName>
    <definedName name="UgiRegenwasser">'Uginox Entwässerung'!$B$179</definedName>
    <definedName name="UgiRinnenboden">'Uginox Entwässerung'!$B$87</definedName>
    <definedName name="UgiRinnenhaken">'Uginox Entwässerung'!$B$31</definedName>
    <definedName name="UgiRinnenwinkel">'Uginox Entwässerung'!$B$51</definedName>
    <definedName name="UgiRohrbogen">'Uginox Entwässerung'!$B$127</definedName>
    <definedName name="UgiRohrschelle">'Uginox Entwässerung'!$B$171</definedName>
    <definedName name="UgiRolafix">'Uginox Entwässerung'!$B$187</definedName>
    <definedName name="UgiStand">'Uginox Entwässerung'!$B$205</definedName>
    <definedName name="UgiTopBand">'Bänder - Tafeln'!$B$50</definedName>
    <definedName name="UgitopBandV4A">'Bänder - Tafeln'!$B$54</definedName>
    <definedName name="UgitopV4A">'Bänder - Tafeln'!$B$54</definedName>
    <definedName name="UgiWasser">'Uginox Entwässerung'!$B$119</definedName>
    <definedName name="UgiWassersammler">'Uginox Entwässerung'!$B$199</definedName>
    <definedName name="VerzBandBesch">'Bänder - Tafeln'!$B$150</definedName>
    <definedName name="VerzBandblank">'Bänder - Tafeln'!$B$160</definedName>
    <definedName name="VerzBandTafel">'Bänder - Tafeln'!$B$156</definedName>
    <definedName name="verzRinnenhaken">'Verzinkt Entwässerung'!$B$3</definedName>
    <definedName name="verzRohrschelle">'Verzinkt Entwässerung'!$B$13</definedName>
    <definedName name="VerzTafelblank">'Bänder - Tafeln'!$B$166</definedName>
    <definedName name="Wirrgelege">'Zubehör Blechdach'!$B$209</definedName>
    <definedName name="ZinkAblaufrohr">'Zink Entwässerung'!$B$37</definedName>
    <definedName name="ZinkBand">'Bänder - Tafeln'!$B$60</definedName>
    <definedName name="ZinkBankTafel">'Bänder - Tafeln'!$B$72</definedName>
    <definedName name="Zinkbogen">'Zink Entwässerung'!#REF!</definedName>
    <definedName name="ZinkDachrinne">'Zink Entwässerung'!$B$1</definedName>
    <definedName name="ZinkEinhang">'Zink Entwässerung'!$B$155</definedName>
    <definedName name="ZinkFallrohrabzweig">'Zink Entwässerung'!$B$217</definedName>
    <definedName name="ZinkRedu">'Zink Entwässerung'!$B$263</definedName>
    <definedName name="ZinkRegenwassersammler">'Zink Entwässerung'!$B$237</definedName>
    <definedName name="ZinkRinnenboden">'Zink Entwässerung'!$B$125</definedName>
    <definedName name="ZinkRinnendilla">'Zink Entwässerung'!$B$141</definedName>
    <definedName name="ZinkRinnenhaken">'Zink Entwässerung'!$B$55</definedName>
    <definedName name="ZinkRinnenwinkel">'Zink Entwässerung'!$B$77</definedName>
    <definedName name="ZinkRohrbogen">'Zink Entwässerung'!$B$186</definedName>
    <definedName name="ZinkRohrschelle">'Zink Entwässerung'!$B$229</definedName>
    <definedName name="ZinkRolafix">'Zink Entwässerung'!$B$247</definedName>
    <definedName name="ZinkStand">'Zink Entwässerung'!$B$255</definedName>
    <definedName name="ZinkSteck">'Zink Entwässerung'!$B$271</definedName>
    <definedName name="ZinkWasserfang">'Zink Entwässerung'!$B$177</definedName>
    <definedName name="ZubehörDeckstifte">'Zubehör Blechdach'!$B$43</definedName>
    <definedName name="ZubehörDübel">'Zubehör Blechdach'!$B$63</definedName>
    <definedName name="ZubehörFallprovisorium">'Zubehör Blechdach'!$B$191</definedName>
    <definedName name="ZubehörFalzdichtband">'Zubehör Blechdach'!$B$167</definedName>
    <definedName name="ZubehörHaften">'Zubehör Blechdach'!$B$115</definedName>
    <definedName name="ZubehörKiesleisten">'Zubehör Blechdach'!$B$139</definedName>
    <definedName name="ZubehörLaubsieb">'Zubehör Blechdach'!$B$3</definedName>
    <definedName name="ZubehörLötzinn">'Zubehör Blechdach'!$B$153</definedName>
    <definedName name="ZubehörMetallkleber">'Zubehör Blechdach'!$B$185</definedName>
    <definedName name="ZubehörMontageplatte">'Zubehör Blechdach'!$B$69</definedName>
    <definedName name="ZubehörPaslode">'Zubehör Blechdach'!$B$49</definedName>
    <definedName name="ZubehörRinnenhakennägel">'Zubehör Blechdach'!$B$37</definedName>
    <definedName name="ZubehörRundedelstahl">'Zubehör Blechdach'!$B$147</definedName>
    <definedName name="ZubehörSchneefang">'Zubehör Blechdach'!$B$75</definedName>
    <definedName name="ZubehörSchneefangEishalter">'Zubehör Blechdach'!$B$109</definedName>
    <definedName name="ZubehörSchneefangrohr">'Zubehör Blechdach'!$B$93</definedName>
    <definedName name="ZubehörSpenglerschrauben">'Zubehör Blechdach'!$B$27</definedName>
    <definedName name="ZubehörStockschrauben">'Zubehör Blechdach'!$B$11</definedName>
  </definedNames>
  <calcPr calcId="191029"/>
</workbook>
</file>

<file path=xl/calcChain.xml><?xml version="1.0" encoding="utf-8"?>
<calcChain xmlns="http://schemas.openxmlformats.org/spreadsheetml/2006/main">
  <c r="P72" i="13" l="1"/>
  <c r="O72" i="13" s="1"/>
  <c r="P71" i="13"/>
  <c r="P70" i="13"/>
  <c r="O70" i="13" s="1"/>
  <c r="O71" i="13"/>
  <c r="P62" i="13"/>
  <c r="P64" i="13"/>
  <c r="O64" i="13" s="1"/>
  <c r="P63" i="13"/>
  <c r="O63" i="13" s="1"/>
  <c r="P54" i="13"/>
  <c r="O54" i="13" s="1"/>
  <c r="P48" i="13"/>
  <c r="O48" i="13" s="1"/>
  <c r="P43" i="13"/>
  <c r="P42" i="13"/>
  <c r="O42" i="13" s="1"/>
  <c r="O43" i="13"/>
  <c r="P37" i="13"/>
  <c r="O37" i="13" s="1"/>
  <c r="P36" i="13"/>
  <c r="O36" i="13" s="1"/>
  <c r="P30" i="13"/>
  <c r="O30" i="13" s="1"/>
  <c r="P25" i="13"/>
  <c r="O25" i="13" s="1"/>
  <c r="P24" i="13"/>
  <c r="O24" i="13" s="1"/>
  <c r="P18" i="13"/>
  <c r="O18" i="13" s="1"/>
  <c r="P12" i="13"/>
  <c r="O12" i="13" s="1"/>
  <c r="P7" i="13"/>
  <c r="O7" i="13" s="1"/>
  <c r="O6" i="13"/>
  <c r="T5" i="13"/>
  <c r="U3" i="13" s="1"/>
  <c r="N7" i="13" s="1"/>
  <c r="M197" i="3"/>
  <c r="M196" i="3"/>
  <c r="O7" i="3"/>
  <c r="O38" i="3"/>
  <c r="O37" i="3"/>
  <c r="O36" i="3"/>
  <c r="O35" i="3"/>
  <c r="O34" i="3"/>
  <c r="V158" i="1"/>
  <c r="V157" i="1"/>
  <c r="V156" i="1"/>
  <c r="V149" i="1"/>
  <c r="V148" i="1"/>
  <c r="V145" i="1"/>
  <c r="V144" i="1"/>
  <c r="V147" i="1"/>
  <c r="V146" i="1"/>
  <c r="N64" i="13" l="1"/>
  <c r="N63" i="13"/>
  <c r="N70" i="13"/>
  <c r="N71" i="13"/>
  <c r="N72" i="13"/>
  <c r="N62" i="13"/>
  <c r="O62" i="13"/>
  <c r="N48" i="13"/>
  <c r="N54" i="13"/>
  <c r="N42" i="13"/>
  <c r="N43" i="13"/>
  <c r="N37" i="13"/>
  <c r="N36" i="13"/>
  <c r="N25" i="13"/>
  <c r="P19" i="13"/>
  <c r="O19" i="13" s="1"/>
  <c r="N19" i="13"/>
  <c r="N24" i="13"/>
  <c r="N30" i="13"/>
  <c r="N18" i="13"/>
  <c r="N6" i="13"/>
  <c r="N12" i="13"/>
  <c r="L182" i="4"/>
  <c r="L176" i="4"/>
  <c r="P198" i="10"/>
  <c r="P192" i="10"/>
  <c r="P186" i="10"/>
  <c r="P180" i="10"/>
  <c r="P174" i="10"/>
  <c r="L206" i="4"/>
  <c r="L200" i="4"/>
  <c r="N209" i="3"/>
  <c r="N210" i="3"/>
  <c r="N208" i="3"/>
  <c r="N184" i="3"/>
  <c r="N202" i="3"/>
  <c r="M202" i="3" s="1"/>
  <c r="N183" i="3"/>
  <c r="N182" i="3"/>
  <c r="N150" i="3"/>
  <c r="N149" i="3"/>
  <c r="N148" i="3"/>
  <c r="N143" i="3"/>
  <c r="N131" i="3"/>
  <c r="N132" i="3"/>
  <c r="N133" i="3"/>
  <c r="N136" i="3"/>
  <c r="N137" i="3"/>
  <c r="N138" i="3"/>
  <c r="N139" i="3"/>
  <c r="N142" i="3"/>
  <c r="N130" i="3"/>
  <c r="N124" i="3"/>
  <c r="N123" i="3"/>
  <c r="N122" i="3"/>
  <c r="N101" i="3"/>
  <c r="N99" i="3"/>
  <c r="N100" i="3"/>
  <c r="N98" i="3"/>
  <c r="N93" i="3"/>
  <c r="N91" i="3"/>
  <c r="N92" i="3"/>
  <c r="N90" i="3"/>
  <c r="N84" i="3"/>
  <c r="N79" i="3"/>
  <c r="N80" i="3"/>
  <c r="N82" i="3"/>
  <c r="N83" i="3"/>
  <c r="N78" i="3"/>
  <c r="N63" i="3"/>
  <c r="M68" i="3"/>
  <c r="N55" i="3"/>
  <c r="N56" i="3"/>
  <c r="N57" i="3"/>
  <c r="N60" i="3"/>
  <c r="N61" i="3"/>
  <c r="N62" i="3"/>
  <c r="N54" i="3"/>
  <c r="Q146" i="8"/>
  <c r="Q59" i="8"/>
  <c r="M8" i="3"/>
  <c r="O7" i="6"/>
  <c r="P172" i="7"/>
  <c r="O172" i="7" s="1"/>
  <c r="P171" i="7"/>
  <c r="O171" i="7" s="1"/>
  <c r="P170" i="7"/>
  <c r="O170" i="7" s="1"/>
  <c r="P168" i="7"/>
  <c r="O168" i="7" s="1"/>
  <c r="P167" i="7"/>
  <c r="O167" i="7" s="1"/>
  <c r="O166" i="7"/>
  <c r="P164" i="7"/>
  <c r="O164" i="7" s="1"/>
  <c r="P163" i="7"/>
  <c r="O163" i="7" s="1"/>
  <c r="O162" i="7"/>
  <c r="P159" i="7"/>
  <c r="P160" i="7" s="1"/>
  <c r="O160" i="7" s="1"/>
  <c r="O158" i="7"/>
  <c r="L24" i="4"/>
  <c r="L23" i="4"/>
  <c r="L22" i="4"/>
  <c r="L21" i="4"/>
  <c r="L20" i="4"/>
  <c r="O24" i="5"/>
  <c r="O18" i="5"/>
  <c r="O72" i="2"/>
  <c r="O73" i="2"/>
  <c r="O74" i="2"/>
  <c r="O75" i="2"/>
  <c r="O64" i="2"/>
  <c r="O65" i="2"/>
  <c r="O61" i="2"/>
  <c r="O62" i="2"/>
  <c r="O63" i="2"/>
  <c r="O60" i="2"/>
  <c r="P16" i="7"/>
  <c r="P15" i="7"/>
  <c r="O6" i="6"/>
  <c r="N42" i="5"/>
  <c r="N36" i="5"/>
  <c r="O37" i="5"/>
  <c r="N37" i="5" s="1"/>
  <c r="N32" i="5"/>
  <c r="N31" i="5"/>
  <c r="O174" i="7" l="1"/>
  <c r="O159" i="7"/>
  <c r="P24" i="5"/>
  <c r="P18" i="5"/>
  <c r="P12" i="5"/>
  <c r="P74" i="5"/>
  <c r="P68" i="5"/>
  <c r="O74" i="5"/>
  <c r="N74" i="5" s="1"/>
  <c r="O68" i="5"/>
  <c r="N68" i="5" s="1"/>
  <c r="O259" i="2"/>
  <c r="O260" i="2"/>
  <c r="O261" i="2"/>
  <c r="O266" i="2"/>
  <c r="O267" i="2"/>
  <c r="O268" i="2"/>
  <c r="O274" i="2"/>
  <c r="O275" i="2"/>
  <c r="O258" i="2"/>
  <c r="O145" i="2"/>
  <c r="O146" i="2"/>
  <c r="O147" i="2"/>
  <c r="O144" i="2"/>
  <c r="O137" i="2"/>
  <c r="O138" i="2"/>
  <c r="O139" i="2"/>
  <c r="O136" i="2"/>
  <c r="Q391" i="1"/>
  <c r="Q392" i="1"/>
  <c r="Q390" i="1"/>
  <c r="Q385" i="1"/>
  <c r="Q384" i="1"/>
  <c r="Q377" i="1"/>
  <c r="Q378" i="1"/>
  <c r="Q379" i="1"/>
  <c r="Q376" i="1"/>
  <c r="Q245" i="1"/>
  <c r="Q246" i="1"/>
  <c r="Q247" i="1"/>
  <c r="Q244" i="1"/>
  <c r="Q237" i="1"/>
  <c r="Q238" i="1"/>
  <c r="Q239" i="1"/>
  <c r="Q236" i="1"/>
  <c r="Q229" i="1"/>
  <c r="Q230" i="1"/>
  <c r="Q231" i="1"/>
  <c r="Q228" i="1"/>
  <c r="O12" i="5"/>
  <c r="N12" i="5" s="1"/>
  <c r="L188" i="4"/>
  <c r="O234" i="2"/>
  <c r="O233" i="2"/>
  <c r="O232" i="2"/>
  <c r="O16" i="6"/>
  <c r="P6" i="10"/>
  <c r="O168" i="10"/>
  <c r="P168" i="10" s="1"/>
  <c r="O163" i="10"/>
  <c r="P163" i="10" s="1"/>
  <c r="O162" i="10"/>
  <c r="P162" i="10" s="1"/>
  <c r="O156" i="10"/>
  <c r="P156" i="10" s="1"/>
  <c r="O150" i="10"/>
  <c r="P150" i="10" s="1"/>
  <c r="O144" i="10"/>
  <c r="P144" i="10" s="1"/>
  <c r="O138" i="10"/>
  <c r="P138" i="10" s="1"/>
  <c r="O132" i="10"/>
  <c r="P132" i="10" s="1"/>
  <c r="O128" i="10"/>
  <c r="P128" i="10" s="1"/>
  <c r="O126" i="10"/>
  <c r="P126" i="10" s="1"/>
  <c r="O120" i="10"/>
  <c r="P120" i="10" s="1"/>
  <c r="O115" i="10"/>
  <c r="P115" i="10" s="1"/>
  <c r="O114" i="10"/>
  <c r="P114" i="10" s="1"/>
  <c r="O113" i="10"/>
  <c r="P113" i="10" s="1"/>
  <c r="O112" i="10"/>
  <c r="P112" i="10" s="1"/>
  <c r="O106" i="10"/>
  <c r="P106" i="10" s="1"/>
  <c r="O100" i="10"/>
  <c r="P100" i="10" s="1"/>
  <c r="O95" i="10"/>
  <c r="P95" i="10" s="1"/>
  <c r="O94" i="10"/>
  <c r="P94" i="10" s="1"/>
  <c r="O88" i="10"/>
  <c r="P88" i="10" s="1"/>
  <c r="O42" i="10"/>
  <c r="P42" i="10" s="1"/>
  <c r="O30" i="10"/>
  <c r="P30" i="10" s="1"/>
  <c r="O24" i="10"/>
  <c r="P24" i="10" s="1"/>
  <c r="O19" i="10"/>
  <c r="P19" i="10" s="1"/>
  <c r="O18" i="10"/>
  <c r="P18" i="10" s="1"/>
  <c r="O49" i="10"/>
  <c r="O50" i="10"/>
  <c r="P50" i="10" s="1"/>
  <c r="O51" i="10"/>
  <c r="P51" i="10" s="1"/>
  <c r="O54" i="10"/>
  <c r="P54" i="10" s="1"/>
  <c r="O55" i="10"/>
  <c r="P55" i="10" s="1"/>
  <c r="O56" i="10"/>
  <c r="P56" i="10" s="1"/>
  <c r="O57" i="10"/>
  <c r="P57" i="10" s="1"/>
  <c r="O60" i="10"/>
  <c r="P60" i="10" s="1"/>
  <c r="O62" i="10"/>
  <c r="P62" i="10" s="1"/>
  <c r="O48" i="10"/>
  <c r="P48" i="10" s="1"/>
  <c r="O82" i="10"/>
  <c r="P82" i="10" s="1"/>
  <c r="O76" i="10"/>
  <c r="P76" i="10" s="1"/>
  <c r="O70" i="10"/>
  <c r="P70" i="10" s="1"/>
  <c r="O68" i="10"/>
  <c r="P68" i="10" s="1"/>
  <c r="O13" i="10"/>
  <c r="P13" i="10" s="1"/>
  <c r="O12" i="10"/>
  <c r="P12" i="10" s="1"/>
  <c r="M216" i="3"/>
  <c r="M208" i="3"/>
  <c r="M209" i="3"/>
  <c r="M210" i="3"/>
  <c r="M190" i="3"/>
  <c r="M182" i="3"/>
  <c r="M183" i="3"/>
  <c r="M184" i="3"/>
  <c r="M162" i="3"/>
  <c r="M163" i="3"/>
  <c r="M164" i="3"/>
  <c r="M165" i="3"/>
  <c r="M166" i="3"/>
  <c r="M167" i="3"/>
  <c r="M168" i="3"/>
  <c r="M148" i="3"/>
  <c r="M149" i="3"/>
  <c r="M150" i="3"/>
  <c r="M130" i="3"/>
  <c r="M131" i="3"/>
  <c r="M132" i="3"/>
  <c r="M133" i="3"/>
  <c r="M136" i="3"/>
  <c r="M137" i="3"/>
  <c r="M138" i="3"/>
  <c r="M139" i="3"/>
  <c r="M142" i="3"/>
  <c r="M143" i="3"/>
  <c r="M122" i="3"/>
  <c r="M123" i="3"/>
  <c r="M124" i="3"/>
  <c r="M114" i="3"/>
  <c r="M115" i="3"/>
  <c r="M116" i="3"/>
  <c r="M117" i="3"/>
  <c r="M106" i="3"/>
  <c r="M107" i="3"/>
  <c r="M108" i="3"/>
  <c r="M109" i="3"/>
  <c r="M98" i="3"/>
  <c r="M99" i="3"/>
  <c r="M100" i="3"/>
  <c r="M101" i="3"/>
  <c r="M90" i="3"/>
  <c r="M91" i="3"/>
  <c r="M92" i="3"/>
  <c r="M93" i="3"/>
  <c r="M79" i="3"/>
  <c r="M80" i="3"/>
  <c r="M82" i="3"/>
  <c r="M83" i="3"/>
  <c r="M84" i="3"/>
  <c r="M78" i="3"/>
  <c r="M84" i="5"/>
  <c r="M175" i="3"/>
  <c r="M176" i="3"/>
  <c r="M177" i="3"/>
  <c r="M174" i="3"/>
  <c r="M102" i="5"/>
  <c r="O23" i="7"/>
  <c r="O22" i="7"/>
  <c r="T183" i="1"/>
  <c r="G184" i="1" s="1"/>
  <c r="T153" i="1"/>
  <c r="T198" i="1"/>
  <c r="O98" i="1"/>
  <c r="P98" i="1"/>
  <c r="P6" i="1"/>
  <c r="M73" i="3"/>
  <c r="M72" i="3"/>
  <c r="M69" i="3"/>
  <c r="P49" i="10" l="1"/>
  <c r="P204" i="10"/>
  <c r="P205" i="10"/>
  <c r="M18" i="5"/>
  <c r="N18" i="5"/>
  <c r="M12" i="5"/>
  <c r="O37" i="10"/>
  <c r="P37" i="10" s="1"/>
  <c r="M74" i="5"/>
  <c r="M68" i="5"/>
  <c r="O36" i="10"/>
  <c r="P36" i="10" s="1"/>
  <c r="T191" i="1"/>
  <c r="Q191" i="1"/>
  <c r="T190" i="1"/>
  <c r="Q190" i="1"/>
  <c r="Q187" i="1"/>
  <c r="Q186" i="1"/>
  <c r="M12" i="3"/>
  <c r="Q169" i="1" l="1"/>
  <c r="T177" i="1"/>
  <c r="Q177" i="1"/>
  <c r="L91" i="4" l="1"/>
  <c r="L84" i="4"/>
  <c r="P75" i="5" l="1"/>
  <c r="O75" i="5"/>
  <c r="N75" i="5" s="1"/>
  <c r="M88" i="5"/>
  <c r="O9" i="6" l="1"/>
  <c r="L107" i="4" l="1"/>
  <c r="L90" i="4" l="1"/>
  <c r="M118" i="5" l="1"/>
  <c r="M163" i="5" l="1"/>
  <c r="M162" i="5"/>
  <c r="M114" i="5"/>
  <c r="P13" i="5"/>
  <c r="O13" i="5"/>
  <c r="N13" i="5" s="1"/>
  <c r="T5" i="10" l="1"/>
  <c r="T5" i="7"/>
  <c r="Q5" i="4"/>
  <c r="P1" i="5"/>
  <c r="T5" i="8"/>
  <c r="T3" i="6"/>
  <c r="R5" i="3"/>
  <c r="T4" i="2"/>
  <c r="T4" i="1"/>
  <c r="L213" i="4" l="1"/>
  <c r="L212" i="4"/>
  <c r="L194" i="4"/>
  <c r="L170" i="4"/>
  <c r="L164" i="4"/>
  <c r="L156" i="4"/>
  <c r="L151" i="4"/>
  <c r="L150" i="4"/>
  <c r="L143" i="4"/>
  <c r="L144" i="4"/>
  <c r="L145" i="4"/>
  <c r="L142" i="4"/>
  <c r="L136" i="4"/>
  <c r="L130" i="4"/>
  <c r="L125" i="4"/>
  <c r="L124" i="4"/>
  <c r="L119" i="4"/>
  <c r="L118" i="4"/>
  <c r="L112" i="4"/>
  <c r="L105" i="4"/>
  <c r="L106" i="4"/>
  <c r="L104" i="4"/>
  <c r="L96" i="4"/>
  <c r="L97" i="4"/>
  <c r="L98" i="4"/>
  <c r="L85" i="4"/>
  <c r="L79" i="4"/>
  <c r="L78" i="4"/>
  <c r="L72" i="4"/>
  <c r="L66" i="4"/>
  <c r="M24" i="5" l="1"/>
  <c r="N24" i="5"/>
  <c r="P25" i="5"/>
  <c r="O25" i="5"/>
  <c r="N25" i="5" s="1"/>
  <c r="O17" i="6" l="1"/>
  <c r="O18" i="6"/>
  <c r="O19" i="6"/>
  <c r="O10" i="6"/>
  <c r="P69" i="5" l="1"/>
  <c r="O69" i="5"/>
  <c r="N69" i="5" s="1"/>
  <c r="L58" i="4" l="1"/>
  <c r="L59" i="4"/>
  <c r="L60" i="4"/>
  <c r="L61" i="4"/>
  <c r="U3" i="10" l="1"/>
  <c r="M205" i="10" l="1"/>
  <c r="M204" i="10"/>
  <c r="M186" i="10"/>
  <c r="M198" i="10"/>
  <c r="M192" i="10"/>
  <c r="M174" i="10"/>
  <c r="M180" i="10"/>
  <c r="M37" i="10"/>
  <c r="M50" i="10"/>
  <c r="M36" i="10"/>
  <c r="M168" i="10"/>
  <c r="M150" i="10"/>
  <c r="M128" i="10"/>
  <c r="M114" i="10"/>
  <c r="M100" i="10"/>
  <c r="M30" i="10"/>
  <c r="M57" i="10"/>
  <c r="M12" i="10"/>
  <c r="M163" i="10"/>
  <c r="M144" i="10"/>
  <c r="M126" i="10"/>
  <c r="M115" i="10"/>
  <c r="M95" i="10"/>
  <c r="M76" i="10"/>
  <c r="M24" i="10"/>
  <c r="M54" i="10"/>
  <c r="M60" i="10"/>
  <c r="M19" i="10"/>
  <c r="M6" i="10"/>
  <c r="M18" i="10"/>
  <c r="M162" i="10"/>
  <c r="M138" i="10"/>
  <c r="M120" i="10"/>
  <c r="M112" i="10"/>
  <c r="M94" i="10"/>
  <c r="M70" i="10"/>
  <c r="M42" i="10"/>
  <c r="M55" i="10"/>
  <c r="M62" i="10"/>
  <c r="M156" i="10"/>
  <c r="M132" i="10"/>
  <c r="M113" i="10"/>
  <c r="M106" i="10"/>
  <c r="M88" i="10"/>
  <c r="M68" i="10"/>
  <c r="M56" i="10"/>
  <c r="M49" i="10"/>
  <c r="M13" i="10"/>
  <c r="M82" i="10"/>
  <c r="M51" i="10"/>
  <c r="M48" i="10"/>
  <c r="T359" i="1"/>
  <c r="G360" i="1" s="1"/>
  <c r="T249" i="2"/>
  <c r="K250" i="2" s="1"/>
  <c r="L249" i="2" l="1"/>
  <c r="H359" i="1"/>
  <c r="H360" i="1" s="1"/>
  <c r="L250" i="2" l="1"/>
  <c r="I359" i="1"/>
  <c r="I360" i="1" s="1"/>
  <c r="M249" i="2" l="1"/>
  <c r="M250" i="2" s="1"/>
  <c r="J359" i="1"/>
  <c r="J360" i="1" s="1"/>
  <c r="N249" i="2" l="1"/>
  <c r="N250" i="2" s="1"/>
  <c r="K359" i="1"/>
  <c r="K360" i="1" s="1"/>
  <c r="L35" i="4"/>
  <c r="L30" i="4"/>
  <c r="L31" i="4"/>
  <c r="L32" i="4"/>
  <c r="L33" i="4"/>
  <c r="L34" i="4"/>
  <c r="L359" i="1" l="1"/>
  <c r="L360" i="1" s="1"/>
  <c r="L53" i="4"/>
  <c r="L52" i="4"/>
  <c r="L47" i="4"/>
  <c r="L46" i="4"/>
  <c r="L41" i="4"/>
  <c r="L40" i="4"/>
  <c r="M359" i="1" l="1"/>
  <c r="M360" i="1" s="1"/>
  <c r="M56" i="5"/>
  <c r="N359" i="1" l="1"/>
  <c r="N360" i="1" s="1"/>
  <c r="O359" i="1" s="1"/>
  <c r="O360" i="1" s="1"/>
  <c r="P359" i="1" s="1"/>
  <c r="P360" i="1" s="1"/>
  <c r="P9" i="5"/>
  <c r="O9" i="5"/>
  <c r="N9" i="5" s="1"/>
  <c r="N8" i="5"/>
  <c r="P63" i="5"/>
  <c r="O63" i="5"/>
  <c r="N63" i="5" s="1"/>
  <c r="N62" i="5"/>
  <c r="M62" i="5"/>
  <c r="P19" i="5"/>
  <c r="O19" i="5"/>
  <c r="N19" i="5" s="1"/>
  <c r="P5" i="5"/>
  <c r="O5" i="5"/>
  <c r="M4" i="5"/>
  <c r="N4" i="5"/>
  <c r="M5" i="5" l="1"/>
  <c r="N5" i="5"/>
  <c r="O131" i="5"/>
  <c r="O125" i="5"/>
  <c r="M125" i="5" s="1"/>
  <c r="O145" i="5"/>
  <c r="O146" i="5"/>
  <c r="O147" i="5"/>
  <c r="M147" i="5" s="1"/>
  <c r="O139" i="5"/>
  <c r="M139" i="5" s="1"/>
  <c r="O138" i="5"/>
  <c r="M138" i="5" s="1"/>
  <c r="O137" i="5"/>
  <c r="M80" i="5" l="1"/>
  <c r="P153" i="5"/>
  <c r="N153" i="5"/>
  <c r="N169" i="5"/>
  <c r="M169" i="5" s="1"/>
  <c r="O169" i="5"/>
  <c r="M168" i="5"/>
  <c r="M158" i="5"/>
  <c r="M152" i="5"/>
  <c r="M101" i="5"/>
  <c r="M100" i="5"/>
  <c r="M110" i="5"/>
  <c r="M106" i="5"/>
  <c r="M94" i="5"/>
  <c r="M153" i="5" l="1"/>
  <c r="M46" i="5"/>
  <c r="U3" i="7" l="1"/>
  <c r="N174" i="7" l="1"/>
  <c r="N158" i="7"/>
  <c r="N168" i="7"/>
  <c r="N167" i="7"/>
  <c r="N166" i="7"/>
  <c r="N164" i="7"/>
  <c r="N160" i="7"/>
  <c r="N170" i="7"/>
  <c r="N162" i="7"/>
  <c r="N171" i="7"/>
  <c r="N163" i="7"/>
  <c r="N172" i="7"/>
  <c r="N159" i="7"/>
  <c r="N23" i="7"/>
  <c r="N22" i="7"/>
  <c r="M146" i="5"/>
  <c r="M145" i="5"/>
  <c r="M131" i="5"/>
  <c r="O130" i="5"/>
  <c r="M130" i="5" s="1"/>
  <c r="O129" i="5"/>
  <c r="M129" i="5" s="1"/>
  <c r="O124" i="5"/>
  <c r="M124" i="5" s="1"/>
  <c r="O123" i="5"/>
  <c r="M123" i="5" s="1"/>
  <c r="M137" i="5"/>
  <c r="M52" i="5"/>
  <c r="M30" i="5"/>
  <c r="M32" i="5" s="1"/>
  <c r="M42" i="5" l="1"/>
  <c r="M37" i="5"/>
  <c r="M36" i="5"/>
  <c r="M31" i="5"/>
  <c r="Q7" i="8"/>
  <c r="Q8" i="8"/>
  <c r="O8" i="8" s="1"/>
  <c r="Q191" i="8"/>
  <c r="O191" i="8" s="1"/>
  <c r="Q190" i="8"/>
  <c r="O190" i="8" s="1"/>
  <c r="Q188" i="8"/>
  <c r="O188" i="8" s="1"/>
  <c r="Q187" i="8"/>
  <c r="O187" i="8" s="1"/>
  <c r="Q180" i="8"/>
  <c r="O180" i="8" s="1"/>
  <c r="Q179" i="8"/>
  <c r="O179" i="8" s="1"/>
  <c r="Q177" i="8"/>
  <c r="O177" i="8" s="1"/>
  <c r="Q176" i="8"/>
  <c r="O176" i="8" s="1"/>
  <c r="Q174" i="8"/>
  <c r="O174" i="8" s="1"/>
  <c r="Q173" i="8"/>
  <c r="O173" i="8" s="1"/>
  <c r="Q166" i="8"/>
  <c r="O166" i="8" s="1"/>
  <c r="Q165" i="8"/>
  <c r="O165" i="8" s="1"/>
  <c r="Q158" i="8"/>
  <c r="O158" i="8" s="1"/>
  <c r="Q157" i="8"/>
  <c r="O157" i="8" s="1"/>
  <c r="Q147" i="8"/>
  <c r="O147" i="8" s="1"/>
  <c r="O146" i="8"/>
  <c r="Q144" i="8"/>
  <c r="O144" i="8" s="1"/>
  <c r="Q143" i="8"/>
  <c r="O143" i="8" s="1"/>
  <c r="Q137" i="8"/>
  <c r="O137" i="8" s="1"/>
  <c r="Q136" i="8"/>
  <c r="O136" i="8" s="1"/>
  <c r="Q134" i="8"/>
  <c r="O134" i="8" s="1"/>
  <c r="Q133" i="8"/>
  <c r="O133" i="8" s="1"/>
  <c r="Q127" i="8"/>
  <c r="Q126" i="8"/>
  <c r="O126" i="8" s="1"/>
  <c r="Q124" i="8"/>
  <c r="O124" i="8" s="1"/>
  <c r="Q123" i="8"/>
  <c r="O123" i="8" s="1"/>
  <c r="Q115" i="8"/>
  <c r="O115" i="8" s="1"/>
  <c r="Q114" i="8"/>
  <c r="O114" i="8" s="1"/>
  <c r="Q112" i="8"/>
  <c r="O112" i="8" s="1"/>
  <c r="Q111" i="8"/>
  <c r="O111" i="8" s="1"/>
  <c r="Q107" i="8"/>
  <c r="O107" i="8" s="1"/>
  <c r="Q106" i="8"/>
  <c r="O106" i="8" s="1"/>
  <c r="Q104" i="8"/>
  <c r="O104" i="8" s="1"/>
  <c r="Q103" i="8"/>
  <c r="O103" i="8" s="1"/>
  <c r="Q95" i="8"/>
  <c r="O95" i="8" s="1"/>
  <c r="Q94" i="8"/>
  <c r="O94" i="8" s="1"/>
  <c r="Q92" i="8"/>
  <c r="O92" i="8" s="1"/>
  <c r="Q91" i="8"/>
  <c r="O91" i="8" s="1"/>
  <c r="Q84" i="8"/>
  <c r="O84" i="8" s="1"/>
  <c r="Q83" i="8"/>
  <c r="Q76" i="8"/>
  <c r="O76" i="8" s="1"/>
  <c r="Q75" i="8"/>
  <c r="O75" i="8" s="1"/>
  <c r="Q68" i="8"/>
  <c r="O68" i="8" s="1"/>
  <c r="Q67" i="8"/>
  <c r="O67" i="8" s="1"/>
  <c r="Q60" i="8"/>
  <c r="O60" i="8" s="1"/>
  <c r="O59" i="8"/>
  <c r="Q56" i="8"/>
  <c r="O56" i="8" s="1"/>
  <c r="Q55" i="8"/>
  <c r="O55" i="8" s="1"/>
  <c r="Q44" i="8"/>
  <c r="O44" i="8" s="1"/>
  <c r="Q43" i="8"/>
  <c r="O43" i="8" s="1"/>
  <c r="Q40" i="8"/>
  <c r="O40" i="8" s="1"/>
  <c r="Q39" i="8"/>
  <c r="O39" i="8" s="1"/>
  <c r="Q26" i="8"/>
  <c r="O26" i="8" s="1"/>
  <c r="Q25" i="8"/>
  <c r="O25" i="8" s="1"/>
  <c r="Q19" i="8"/>
  <c r="O19" i="8" s="1"/>
  <c r="Q18" i="8"/>
  <c r="O18" i="8" s="1"/>
  <c r="Q16" i="8"/>
  <c r="Q15" i="8"/>
  <c r="O15" i="8" s="1"/>
  <c r="M136" i="5"/>
  <c r="M144" i="5"/>
  <c r="M128" i="5"/>
  <c r="M122" i="5"/>
  <c r="O127" i="8" l="1"/>
  <c r="O83" i="8"/>
  <c r="O16" i="8"/>
  <c r="Q1" i="5"/>
  <c r="L32" i="5" s="1"/>
  <c r="O128" i="7"/>
  <c r="P126" i="7"/>
  <c r="P127" i="7" s="1"/>
  <c r="O127" i="7" s="1"/>
  <c r="O125" i="7"/>
  <c r="O122" i="7"/>
  <c r="P120" i="7"/>
  <c r="P121" i="7" s="1"/>
  <c r="O121" i="7" s="1"/>
  <c r="O119" i="7"/>
  <c r="O105" i="7"/>
  <c r="P103" i="7"/>
  <c r="P104" i="7" s="1"/>
  <c r="O104" i="7" s="1"/>
  <c r="O102" i="7"/>
  <c r="O117" i="7"/>
  <c r="O111" i="7"/>
  <c r="P115" i="7"/>
  <c r="P116" i="7" s="1"/>
  <c r="O116" i="7" s="1"/>
  <c r="O114" i="7"/>
  <c r="L102" i="5" l="1"/>
  <c r="L84" i="5"/>
  <c r="L88" i="5"/>
  <c r="L163" i="5"/>
  <c r="L118" i="5"/>
  <c r="L114" i="5"/>
  <c r="L162" i="5"/>
  <c r="L56" i="5"/>
  <c r="L147" i="5"/>
  <c r="L139" i="5"/>
  <c r="L138" i="5"/>
  <c r="L125" i="5"/>
  <c r="L152" i="5"/>
  <c r="L153" i="5"/>
  <c r="L168" i="5"/>
  <c r="L80" i="5"/>
  <c r="L169" i="5"/>
  <c r="L94" i="5"/>
  <c r="L158" i="5"/>
  <c r="L110" i="5"/>
  <c r="L100" i="5"/>
  <c r="L106" i="5"/>
  <c r="L101" i="5"/>
  <c r="L46" i="5"/>
  <c r="L145" i="5"/>
  <c r="L146" i="5"/>
  <c r="L130" i="5"/>
  <c r="L123" i="5"/>
  <c r="L137" i="5"/>
  <c r="L124" i="5"/>
  <c r="L129" i="5"/>
  <c r="L131" i="5"/>
  <c r="L144" i="5"/>
  <c r="L30" i="5"/>
  <c r="L52" i="5"/>
  <c r="L136" i="5"/>
  <c r="L122" i="5"/>
  <c r="L128" i="5"/>
  <c r="O126" i="7"/>
  <c r="O103" i="7"/>
  <c r="O120" i="7"/>
  <c r="O115" i="7"/>
  <c r="L37" i="5" l="1"/>
  <c r="L42" i="5"/>
  <c r="L31" i="5"/>
  <c r="L36" i="5"/>
  <c r="T207" i="1"/>
  <c r="G208" i="1" s="1"/>
  <c r="O189" i="8"/>
  <c r="O186" i="8"/>
  <c r="O175" i="8"/>
  <c r="O178" i="8"/>
  <c r="O172" i="8"/>
  <c r="O164" i="8"/>
  <c r="O156" i="8"/>
  <c r="O145" i="8"/>
  <c r="O142" i="8"/>
  <c r="O135" i="8"/>
  <c r="O132" i="8"/>
  <c r="O125" i="8"/>
  <c r="O122" i="8"/>
  <c r="O113" i="8"/>
  <c r="O105" i="8"/>
  <c r="O93" i="8"/>
  <c r="O110" i="8"/>
  <c r="O90" i="8"/>
  <c r="O102" i="8"/>
  <c r="O82" i="8"/>
  <c r="O74" i="8"/>
  <c r="O66" i="8"/>
  <c r="O54" i="8"/>
  <c r="O58" i="8"/>
  <c r="O42" i="8"/>
  <c r="O38" i="8"/>
  <c r="O32" i="8"/>
  <c r="O24" i="8"/>
  <c r="O17" i="8"/>
  <c r="O14" i="8"/>
  <c r="O7" i="8"/>
  <c r="O6" i="8"/>
  <c r="U3" i="8"/>
  <c r="N191" i="8" l="1"/>
  <c r="N174" i="8"/>
  <c r="N157" i="8"/>
  <c r="N146" i="8"/>
  <c r="N137" i="8"/>
  <c r="N134" i="8"/>
  <c r="N190" i="8"/>
  <c r="N187" i="8"/>
  <c r="N177" i="8"/>
  <c r="N133" i="8"/>
  <c r="N124" i="8"/>
  <c r="N176" i="8"/>
  <c r="N173" i="8"/>
  <c r="N165" i="8"/>
  <c r="N158" i="8"/>
  <c r="N147" i="8"/>
  <c r="N144" i="8"/>
  <c r="N136" i="8"/>
  <c r="N188" i="8"/>
  <c r="N126" i="8"/>
  <c r="N123" i="8"/>
  <c r="N180" i="8"/>
  <c r="N179" i="8"/>
  <c r="N166" i="8"/>
  <c r="N127" i="8"/>
  <c r="N143" i="8"/>
  <c r="N115" i="8"/>
  <c r="N112" i="8"/>
  <c r="N107" i="8"/>
  <c r="N104" i="8"/>
  <c r="N95" i="8"/>
  <c r="N92" i="8"/>
  <c r="N75" i="8"/>
  <c r="N60" i="8"/>
  <c r="N56" i="8"/>
  <c r="N67" i="8"/>
  <c r="N68" i="8"/>
  <c r="N114" i="8"/>
  <c r="N111" i="8"/>
  <c r="N106" i="8"/>
  <c r="N103" i="8"/>
  <c r="N94" i="8"/>
  <c r="N91" i="8"/>
  <c r="N84" i="8"/>
  <c r="N76" i="8"/>
  <c r="N59" i="8"/>
  <c r="N55" i="8"/>
  <c r="N83" i="8"/>
  <c r="N43" i="8"/>
  <c r="N40" i="8"/>
  <c r="N15" i="8"/>
  <c r="N39" i="8"/>
  <c r="N26" i="8"/>
  <c r="N18" i="8"/>
  <c r="N19" i="8"/>
  <c r="N25" i="8"/>
  <c r="N44" i="8"/>
  <c r="N16" i="8"/>
  <c r="N175" i="8"/>
  <c r="N8" i="8"/>
  <c r="N186" i="8"/>
  <c r="N156" i="8"/>
  <c r="N172" i="8"/>
  <c r="N178" i="8"/>
  <c r="N189" i="8"/>
  <c r="N164" i="8"/>
  <c r="N142" i="8"/>
  <c r="N145" i="8"/>
  <c r="N132" i="8"/>
  <c r="N135" i="8"/>
  <c r="N122" i="8"/>
  <c r="N113" i="8"/>
  <c r="N125" i="8"/>
  <c r="N93" i="8"/>
  <c r="N105" i="8"/>
  <c r="N110" i="8"/>
  <c r="N102" i="8"/>
  <c r="N90" i="8"/>
  <c r="N82" i="8"/>
  <c r="N74" i="8"/>
  <c r="N58" i="8"/>
  <c r="N66" i="8"/>
  <c r="N54" i="8"/>
  <c r="N38" i="8"/>
  <c r="N42" i="8"/>
  <c r="N24" i="8"/>
  <c r="N32" i="8"/>
  <c r="N14" i="8"/>
  <c r="N17" i="8"/>
  <c r="N7" i="8"/>
  <c r="N6" i="8"/>
  <c r="P151" i="7" l="1"/>
  <c r="P152" i="7" s="1"/>
  <c r="O152" i="7" s="1"/>
  <c r="O150" i="7"/>
  <c r="P147" i="7"/>
  <c r="P148" i="7" s="1"/>
  <c r="O148" i="7" s="1"/>
  <c r="O146" i="7"/>
  <c r="O140" i="7"/>
  <c r="O134" i="7"/>
  <c r="P109" i="7"/>
  <c r="P110" i="7" s="1"/>
  <c r="O110" i="7" s="1"/>
  <c r="O108" i="7"/>
  <c r="P95" i="7"/>
  <c r="P96" i="7" s="1"/>
  <c r="O96" i="7" s="1"/>
  <c r="O94" i="7"/>
  <c r="P91" i="7"/>
  <c r="P92" i="7" s="1"/>
  <c r="O92" i="7" s="1"/>
  <c r="O90" i="7"/>
  <c r="P83" i="7"/>
  <c r="P84" i="7" s="1"/>
  <c r="O84" i="7" s="1"/>
  <c r="O82" i="7"/>
  <c r="P75" i="7"/>
  <c r="P76" i="7" s="1"/>
  <c r="O76" i="7" s="1"/>
  <c r="O74" i="7"/>
  <c r="P67" i="7"/>
  <c r="P68" i="7" s="1"/>
  <c r="O68" i="7" s="1"/>
  <c r="O66" i="7"/>
  <c r="P59" i="7"/>
  <c r="P60" i="7" s="1"/>
  <c r="O60" i="7" s="1"/>
  <c r="O58" i="7"/>
  <c r="P51" i="7"/>
  <c r="P52" i="7" s="1"/>
  <c r="O52" i="7" s="1"/>
  <c r="O50" i="7"/>
  <c r="P29" i="7"/>
  <c r="P30" i="7" s="1"/>
  <c r="O30" i="7" s="1"/>
  <c r="P33" i="7"/>
  <c r="O33" i="7" s="1"/>
  <c r="P34" i="7"/>
  <c r="O34" i="7" s="1"/>
  <c r="P42" i="7"/>
  <c r="O42" i="7" s="1"/>
  <c r="P41" i="7"/>
  <c r="P40" i="7"/>
  <c r="P38" i="7"/>
  <c r="O38" i="7" s="1"/>
  <c r="P37" i="7"/>
  <c r="O37" i="7" s="1"/>
  <c r="O41" i="7"/>
  <c r="O36" i="7"/>
  <c r="O32" i="7"/>
  <c r="O28" i="7"/>
  <c r="O15" i="7"/>
  <c r="O16" i="7"/>
  <c r="O14" i="7"/>
  <c r="P8" i="7"/>
  <c r="O8" i="7" s="1"/>
  <c r="P7" i="7"/>
  <c r="O7" i="7" s="1"/>
  <c r="O6" i="7"/>
  <c r="T66" i="6"/>
  <c r="O8" i="6"/>
  <c r="U2" i="6"/>
  <c r="N7" i="6" s="1"/>
  <c r="O40" i="7" l="1"/>
  <c r="N40" i="7" s="1"/>
  <c r="O44" i="7"/>
  <c r="N44" i="7" s="1"/>
  <c r="N17" i="6"/>
  <c r="N16" i="6"/>
  <c r="N9" i="6"/>
  <c r="N6" i="6"/>
  <c r="N18" i="6"/>
  <c r="N10" i="6"/>
  <c r="N19" i="6"/>
  <c r="N8" i="6"/>
  <c r="O29" i="7"/>
  <c r="N29" i="7" s="1"/>
  <c r="O95" i="7"/>
  <c r="N95" i="7" s="1"/>
  <c r="N117" i="7"/>
  <c r="N114" i="7"/>
  <c r="N102" i="7"/>
  <c r="N122" i="7"/>
  <c r="N119" i="7"/>
  <c r="N121" i="7"/>
  <c r="N105" i="7"/>
  <c r="N127" i="7"/>
  <c r="N104" i="7"/>
  <c r="N111" i="7"/>
  <c r="N125" i="7"/>
  <c r="N116" i="7"/>
  <c r="N128" i="7"/>
  <c r="N126" i="7"/>
  <c r="N120" i="7"/>
  <c r="N103" i="7"/>
  <c r="N115" i="7"/>
  <c r="O51" i="7"/>
  <c r="N51" i="7" s="1"/>
  <c r="N30" i="7"/>
  <c r="N66" i="7"/>
  <c r="N32" i="7"/>
  <c r="N41" i="7"/>
  <c r="N82" i="7"/>
  <c r="N52" i="7"/>
  <c r="N38" i="7"/>
  <c r="N42" i="7"/>
  <c r="N28" i="7"/>
  <c r="N68" i="7"/>
  <c r="N84" i="7"/>
  <c r="N96" i="7"/>
  <c r="N148" i="7"/>
  <c r="N146" i="7"/>
  <c r="N14" i="7"/>
  <c r="N16" i="7"/>
  <c r="N34" i="7"/>
  <c r="N37" i="7"/>
  <c r="N50" i="7"/>
  <c r="N58" i="7"/>
  <c r="N74" i="7"/>
  <c r="N90" i="7"/>
  <c r="N94" i="7"/>
  <c r="N108" i="7"/>
  <c r="N134" i="7"/>
  <c r="N150" i="7"/>
  <c r="N15" i="7"/>
  <c r="N33" i="7"/>
  <c r="N36" i="7"/>
  <c r="N60" i="7"/>
  <c r="N76" i="7"/>
  <c r="N92" i="7"/>
  <c r="N110" i="7"/>
  <c r="N140" i="7"/>
  <c r="N152" i="7"/>
  <c r="O151" i="7"/>
  <c r="N151" i="7" s="1"/>
  <c r="O147" i="7"/>
  <c r="N147" i="7" s="1"/>
  <c r="O109" i="7"/>
  <c r="N109" i="7" s="1"/>
  <c r="O91" i="7"/>
  <c r="N91" i="7" s="1"/>
  <c r="O83" i="7"/>
  <c r="N83" i="7" s="1"/>
  <c r="O75" i="7"/>
  <c r="N75" i="7" s="1"/>
  <c r="O67" i="7"/>
  <c r="N67" i="7" s="1"/>
  <c r="O59" i="7"/>
  <c r="N59" i="7" s="1"/>
  <c r="N7" i="7"/>
  <c r="N6" i="7"/>
  <c r="N8" i="7"/>
  <c r="M26" i="3" l="1"/>
  <c r="L14" i="4"/>
  <c r="L17" i="4"/>
  <c r="L18" i="4"/>
  <c r="L16" i="4"/>
  <c r="L15" i="4"/>
  <c r="L8" i="4"/>
  <c r="L7" i="4"/>
  <c r="L6" i="4"/>
  <c r="R3" i="4"/>
  <c r="K194" i="4" l="1"/>
  <c r="K176" i="4"/>
  <c r="K206" i="4"/>
  <c r="K200" i="4"/>
  <c r="K182" i="4"/>
  <c r="K118" i="4"/>
  <c r="K24" i="4"/>
  <c r="K23" i="4"/>
  <c r="K22" i="4"/>
  <c r="K21" i="4"/>
  <c r="K20" i="4"/>
  <c r="K84" i="4"/>
  <c r="K91" i="4"/>
  <c r="K90" i="4"/>
  <c r="K107" i="4"/>
  <c r="K212" i="4"/>
  <c r="K170" i="4"/>
  <c r="K150" i="4"/>
  <c r="K142" i="4"/>
  <c r="K124" i="4"/>
  <c r="K106" i="4"/>
  <c r="K97" i="4"/>
  <c r="K78" i="4"/>
  <c r="K164" i="4"/>
  <c r="K145" i="4"/>
  <c r="K136" i="4"/>
  <c r="K119" i="4"/>
  <c r="K105" i="4"/>
  <c r="K96" i="4"/>
  <c r="K72" i="4"/>
  <c r="K188" i="4"/>
  <c r="K156" i="4"/>
  <c r="K144" i="4"/>
  <c r="K130" i="4"/>
  <c r="K104" i="4"/>
  <c r="K85" i="4"/>
  <c r="K66" i="4"/>
  <c r="K213" i="4"/>
  <c r="K151" i="4"/>
  <c r="K143" i="4"/>
  <c r="K125" i="4"/>
  <c r="K112" i="4"/>
  <c r="K98" i="4"/>
  <c r="K79" i="4"/>
  <c r="K59" i="4"/>
  <c r="K31" i="4"/>
  <c r="K35" i="4"/>
  <c r="K60" i="4"/>
  <c r="K32" i="4"/>
  <c r="K30" i="4"/>
  <c r="K61" i="4"/>
  <c r="K33" i="4"/>
  <c r="K52" i="4"/>
  <c r="K58" i="4"/>
  <c r="K34" i="4"/>
  <c r="K53" i="4"/>
  <c r="K46" i="4"/>
  <c r="K47" i="4"/>
  <c r="K40" i="4"/>
  <c r="K41" i="4"/>
  <c r="K14" i="4"/>
  <c r="K17" i="4"/>
  <c r="K16" i="4"/>
  <c r="K18" i="4"/>
  <c r="K15" i="4"/>
  <c r="K6" i="4"/>
  <c r="K8" i="4"/>
  <c r="K7" i="4"/>
  <c r="M34" i="3" l="1"/>
  <c r="T267" i="1" l="1"/>
  <c r="G268" i="1" s="1"/>
  <c r="T255" i="1"/>
  <c r="G256" i="1" s="1"/>
  <c r="H255" i="1" s="1"/>
  <c r="H267" i="1" l="1"/>
  <c r="H256" i="1"/>
  <c r="M54" i="1"/>
  <c r="N54" i="1"/>
  <c r="O54" i="1"/>
  <c r="H268" i="1" l="1"/>
  <c r="I255" i="1"/>
  <c r="I256" i="1" s="1"/>
  <c r="I267" i="1" l="1"/>
  <c r="I268" i="1" s="1"/>
  <c r="J255" i="1"/>
  <c r="J256" i="1" s="1"/>
  <c r="M55" i="3"/>
  <c r="M56" i="3"/>
  <c r="M57" i="3"/>
  <c r="M60" i="3"/>
  <c r="M61" i="3"/>
  <c r="M62" i="3"/>
  <c r="M63" i="3"/>
  <c r="M54" i="3"/>
  <c r="M47" i="3"/>
  <c r="M48" i="3"/>
  <c r="M46" i="3"/>
  <c r="M35" i="3"/>
  <c r="M36" i="3"/>
  <c r="M37" i="3"/>
  <c r="M38" i="3"/>
  <c r="M27" i="3"/>
  <c r="M28" i="3"/>
  <c r="M29" i="3"/>
  <c r="M19" i="3"/>
  <c r="M20" i="3"/>
  <c r="M18" i="3"/>
  <c r="M7" i="3"/>
  <c r="M9" i="3"/>
  <c r="M11" i="3"/>
  <c r="M6" i="3"/>
  <c r="Q199" i="1"/>
  <c r="Q167" i="1"/>
  <c r="T199" i="1"/>
  <c r="T200" i="1"/>
  <c r="T201" i="1"/>
  <c r="T202" i="1"/>
  <c r="T175" i="1"/>
  <c r="T211" i="1" s="1"/>
  <c r="T176" i="1"/>
  <c r="T212" i="1" s="1"/>
  <c r="T178" i="1"/>
  <c r="T213" i="1" s="1"/>
  <c r="T179" i="1"/>
  <c r="T214" i="1" s="1"/>
  <c r="T174" i="1"/>
  <c r="T210" i="1" s="1"/>
  <c r="J267" i="1" l="1"/>
  <c r="J268" i="1" s="1"/>
  <c r="K255" i="1"/>
  <c r="K256" i="1" s="1"/>
  <c r="Q214" i="1"/>
  <c r="Q213" i="1"/>
  <c r="Q212" i="1"/>
  <c r="Q211" i="1"/>
  <c r="Q210" i="1"/>
  <c r="Q202" i="1"/>
  <c r="Q201" i="1"/>
  <c r="Q200" i="1"/>
  <c r="Q198" i="1"/>
  <c r="Q179" i="1"/>
  <c r="Q178" i="1"/>
  <c r="Q176" i="1"/>
  <c r="Q175" i="1"/>
  <c r="Q174" i="1"/>
  <c r="Q171" i="1"/>
  <c r="Q170" i="1"/>
  <c r="Q168" i="1"/>
  <c r="Q166" i="1"/>
  <c r="I6" i="1"/>
  <c r="K267" i="1" l="1"/>
  <c r="K268" i="1" s="1"/>
  <c r="L255" i="1"/>
  <c r="L256" i="1" s="1"/>
  <c r="S3" i="3"/>
  <c r="L196" i="3" l="1"/>
  <c r="L197" i="3"/>
  <c r="L8" i="3"/>
  <c r="L202" i="3"/>
  <c r="L177" i="3"/>
  <c r="L175" i="3"/>
  <c r="L176" i="3"/>
  <c r="L174" i="3"/>
  <c r="L210" i="3"/>
  <c r="L216" i="3"/>
  <c r="L168" i="3"/>
  <c r="L130" i="3"/>
  <c r="L124" i="3"/>
  <c r="L100" i="3"/>
  <c r="L183" i="3"/>
  <c r="L162" i="3"/>
  <c r="L122" i="3"/>
  <c r="L107" i="3"/>
  <c r="L101" i="3"/>
  <c r="L136" i="3"/>
  <c r="L184" i="3"/>
  <c r="L108" i="3"/>
  <c r="L114" i="3"/>
  <c r="L82" i="3"/>
  <c r="L149" i="3"/>
  <c r="L84" i="3"/>
  <c r="L182" i="3"/>
  <c r="L143" i="3"/>
  <c r="L109" i="3"/>
  <c r="L209" i="3"/>
  <c r="L142" i="3"/>
  <c r="L106" i="3"/>
  <c r="L165" i="3"/>
  <c r="L208" i="3"/>
  <c r="L137" i="3"/>
  <c r="L115" i="3"/>
  <c r="L91" i="3"/>
  <c r="L138" i="3"/>
  <c r="L116" i="3"/>
  <c r="L92" i="3"/>
  <c r="L164" i="3"/>
  <c r="L90" i="3"/>
  <c r="L131" i="3"/>
  <c r="L163" i="3"/>
  <c r="L139" i="3"/>
  <c r="L117" i="3"/>
  <c r="L93" i="3"/>
  <c r="L166" i="3"/>
  <c r="L150" i="3"/>
  <c r="L132" i="3"/>
  <c r="L98" i="3"/>
  <c r="L78" i="3"/>
  <c r="L190" i="3"/>
  <c r="L167" i="3"/>
  <c r="L148" i="3"/>
  <c r="L133" i="3"/>
  <c r="L123" i="3"/>
  <c r="L99" i="3"/>
  <c r="L68" i="3"/>
  <c r="L80" i="3"/>
  <c r="L79" i="3"/>
  <c r="L83" i="3"/>
  <c r="L69" i="3"/>
  <c r="L73" i="3"/>
  <c r="L72" i="3"/>
  <c r="L12" i="3"/>
  <c r="L35" i="3"/>
  <c r="L34" i="3"/>
  <c r="L36" i="3"/>
  <c r="L47" i="3"/>
  <c r="L37" i="3"/>
  <c r="L48" i="3"/>
  <c r="L38" i="3"/>
  <c r="L46" i="3"/>
  <c r="L267" i="1"/>
  <c r="L268" i="1" s="1"/>
  <c r="M255" i="1"/>
  <c r="M256" i="1" s="1"/>
  <c r="L55" i="3"/>
  <c r="L20" i="3"/>
  <c r="L7" i="3"/>
  <c r="L9" i="3"/>
  <c r="L19" i="3"/>
  <c r="L18" i="3"/>
  <c r="L11" i="3"/>
  <c r="L63" i="3"/>
  <c r="L6" i="3"/>
  <c r="L29" i="3"/>
  <c r="L27" i="3"/>
  <c r="L56" i="3"/>
  <c r="L61" i="3"/>
  <c r="L57" i="3"/>
  <c r="L62" i="3"/>
  <c r="L28" i="3"/>
  <c r="L54" i="3"/>
  <c r="L26" i="3"/>
  <c r="L60" i="3"/>
  <c r="T239" i="2"/>
  <c r="K240" i="2" s="1"/>
  <c r="T349" i="1"/>
  <c r="T69" i="2"/>
  <c r="L154" i="1"/>
  <c r="N42" i="2"/>
  <c r="M42" i="2"/>
  <c r="L42" i="2"/>
  <c r="K42" i="2"/>
  <c r="N24" i="2"/>
  <c r="M24" i="2"/>
  <c r="L24" i="2"/>
  <c r="K24" i="2"/>
  <c r="J24" i="2"/>
  <c r="J6" i="2"/>
  <c r="K6" i="2"/>
  <c r="L6" i="2"/>
  <c r="M6" i="2"/>
  <c r="G350" i="1" l="1"/>
  <c r="H349" i="1" s="1"/>
  <c r="H350" i="1" s="1"/>
  <c r="I349" i="1" s="1"/>
  <c r="M267" i="1"/>
  <c r="M268" i="1" s="1"/>
  <c r="N255" i="1"/>
  <c r="N256" i="1" s="1"/>
  <c r="O255" i="1" s="1"/>
  <c r="O256" i="1" s="1"/>
  <c r="P255" i="1" s="1"/>
  <c r="P256" i="1" s="1"/>
  <c r="T219" i="2"/>
  <c r="K220" i="2" s="1"/>
  <c r="T209" i="2"/>
  <c r="K210" i="2" s="1"/>
  <c r="T189" i="2"/>
  <c r="K190" i="2" s="1"/>
  <c r="T179" i="2"/>
  <c r="K180" i="2" s="1"/>
  <c r="T169" i="2"/>
  <c r="K170" i="2" s="1"/>
  <c r="T157" i="2"/>
  <c r="K158" i="2" s="1"/>
  <c r="T109" i="2"/>
  <c r="K110" i="2" s="1"/>
  <c r="L109" i="2" s="1"/>
  <c r="L110" i="2" s="1"/>
  <c r="T79" i="2"/>
  <c r="K80" i="2" s="1"/>
  <c r="T57" i="2"/>
  <c r="T43" i="2"/>
  <c r="D44" i="2" s="1"/>
  <c r="B45" i="2" s="1"/>
  <c r="D45" i="2" s="1"/>
  <c r="B46" i="2" s="1"/>
  <c r="D46" i="2" s="1"/>
  <c r="B47" i="2" s="1"/>
  <c r="D47" i="2" s="1"/>
  <c r="T25" i="2"/>
  <c r="D26" i="2" s="1"/>
  <c r="B27" i="2" s="1"/>
  <c r="D27" i="2" s="1"/>
  <c r="B28" i="2" s="1"/>
  <c r="D28" i="2" s="1"/>
  <c r="B29" i="2" s="1"/>
  <c r="D29" i="2" s="1"/>
  <c r="B30" i="2" s="1"/>
  <c r="D30" i="2" s="1"/>
  <c r="B31" i="2" s="1"/>
  <c r="D31" i="2" s="1"/>
  <c r="B32" i="2" s="1"/>
  <c r="D32" i="2" s="1"/>
  <c r="T8" i="2"/>
  <c r="D8" i="2" s="1"/>
  <c r="B9" i="2" s="1"/>
  <c r="D9" i="2" s="1"/>
  <c r="N6" i="2"/>
  <c r="U1" i="2"/>
  <c r="N72" i="2" l="1"/>
  <c r="N65" i="2"/>
  <c r="N74" i="2"/>
  <c r="N73" i="2"/>
  <c r="N75" i="2"/>
  <c r="N61" i="2"/>
  <c r="N62" i="2"/>
  <c r="N60" i="2"/>
  <c r="N63" i="2"/>
  <c r="N64" i="2"/>
  <c r="N274" i="2"/>
  <c r="N275" i="2"/>
  <c r="N267" i="2"/>
  <c r="N266" i="2"/>
  <c r="N261" i="2"/>
  <c r="N268" i="2"/>
  <c r="N259" i="2"/>
  <c r="N258" i="2"/>
  <c r="N260" i="2"/>
  <c r="N144" i="2"/>
  <c r="N146" i="2"/>
  <c r="N147" i="2"/>
  <c r="N145" i="2"/>
  <c r="N234" i="2"/>
  <c r="N232" i="2"/>
  <c r="N233" i="2"/>
  <c r="M253" i="2"/>
  <c r="K253" i="2"/>
  <c r="K243" i="2"/>
  <c r="M252" i="2"/>
  <c r="K252" i="2"/>
  <c r="K242" i="2"/>
  <c r="N252" i="2"/>
  <c r="N253" i="2"/>
  <c r="L253" i="2"/>
  <c r="K222" i="2"/>
  <c r="L252" i="2"/>
  <c r="K244" i="2"/>
  <c r="L26" i="2"/>
  <c r="K184" i="2"/>
  <c r="L113" i="2"/>
  <c r="L114" i="2"/>
  <c r="L115" i="2"/>
  <c r="L116" i="2"/>
  <c r="L118" i="2"/>
  <c r="L119" i="2"/>
  <c r="L120" i="2"/>
  <c r="L121" i="2"/>
  <c r="L122" i="2"/>
  <c r="K83" i="2"/>
  <c r="K88" i="2"/>
  <c r="K92" i="2"/>
  <c r="K90" i="2"/>
  <c r="K91" i="2"/>
  <c r="K212" i="2"/>
  <c r="K192" i="2"/>
  <c r="K182" i="2"/>
  <c r="K172" i="2"/>
  <c r="K160" i="2"/>
  <c r="L112" i="2"/>
  <c r="K84" i="2"/>
  <c r="K89" i="2"/>
  <c r="K82" i="2"/>
  <c r="K223" i="2"/>
  <c r="K224" i="2"/>
  <c r="K225" i="2"/>
  <c r="K226" i="2"/>
  <c r="K227" i="2"/>
  <c r="K213" i="2"/>
  <c r="K214" i="2"/>
  <c r="K193" i="2"/>
  <c r="K194" i="2"/>
  <c r="K195" i="2"/>
  <c r="K197" i="2"/>
  <c r="K198" i="2"/>
  <c r="K199" i="2"/>
  <c r="K200" i="2"/>
  <c r="K202" i="2"/>
  <c r="K203" i="2"/>
  <c r="K204" i="2"/>
  <c r="K205" i="2"/>
  <c r="K183" i="2"/>
  <c r="K173" i="2"/>
  <c r="K174" i="2"/>
  <c r="K175" i="2"/>
  <c r="K161" i="2"/>
  <c r="K162" i="2"/>
  <c r="K163" i="2"/>
  <c r="K164" i="2"/>
  <c r="K165" i="2"/>
  <c r="K112" i="2"/>
  <c r="K85" i="2"/>
  <c r="K113" i="2"/>
  <c r="K114" i="2"/>
  <c r="K115" i="2"/>
  <c r="K116" i="2"/>
  <c r="K118" i="2"/>
  <c r="K119" i="2"/>
  <c r="K120" i="2"/>
  <c r="K121" i="2"/>
  <c r="K122" i="2"/>
  <c r="K86" i="2"/>
  <c r="B48" i="2"/>
  <c r="D48" i="2" s="1"/>
  <c r="B49" i="2" s="1"/>
  <c r="D49" i="2" s="1"/>
  <c r="B50" i="2" s="1"/>
  <c r="D50" i="2" s="1"/>
  <c r="B51" i="2" s="1"/>
  <c r="D51" i="2" s="1"/>
  <c r="K47" i="2"/>
  <c r="M109" i="2"/>
  <c r="M110" i="2" s="1"/>
  <c r="N109" i="2" s="1"/>
  <c r="N110" i="2" s="1"/>
  <c r="N113" i="2" s="1"/>
  <c r="N267" i="1"/>
  <c r="N268" i="1" s="1"/>
  <c r="O267" i="1" s="1"/>
  <c r="O268" i="1" s="1"/>
  <c r="P267" i="1" s="1"/>
  <c r="P268" i="1" s="1"/>
  <c r="L209" i="2"/>
  <c r="L210" i="2" s="1"/>
  <c r="L214" i="2" s="1"/>
  <c r="L219" i="2"/>
  <c r="L220" i="2" s="1"/>
  <c r="L226" i="2" s="1"/>
  <c r="L179" i="2"/>
  <c r="L180" i="2" s="1"/>
  <c r="L182" i="2" s="1"/>
  <c r="L189" i="2"/>
  <c r="L190" i="2" s="1"/>
  <c r="L195" i="2" s="1"/>
  <c r="L169" i="2"/>
  <c r="L170" i="2" s="1"/>
  <c r="L173" i="2" s="1"/>
  <c r="L157" i="2"/>
  <c r="L158" i="2" s="1"/>
  <c r="L160" i="2" s="1"/>
  <c r="N139" i="2"/>
  <c r="N138" i="2"/>
  <c r="N136" i="2"/>
  <c r="N137" i="2"/>
  <c r="N131" i="2"/>
  <c r="N130" i="2"/>
  <c r="N129" i="2"/>
  <c r="N128" i="2"/>
  <c r="L79" i="2"/>
  <c r="L80" i="2" s="1"/>
  <c r="L85" i="2" s="1"/>
  <c r="I350" i="1"/>
  <c r="J349" i="1" s="1"/>
  <c r="K9" i="2"/>
  <c r="L8" i="2"/>
  <c r="L9" i="2"/>
  <c r="K8" i="2"/>
  <c r="M9" i="2"/>
  <c r="N8" i="2"/>
  <c r="J8" i="2"/>
  <c r="J9" i="2"/>
  <c r="N9" i="2"/>
  <c r="M8" i="2"/>
  <c r="M26" i="2"/>
  <c r="K46" i="2"/>
  <c r="N27" i="2"/>
  <c r="K44" i="2"/>
  <c r="B33" i="2"/>
  <c r="D33" i="2" s="1"/>
  <c r="K32" i="2"/>
  <c r="B10" i="2"/>
  <c r="D10" i="2" s="1"/>
  <c r="K10" i="2" s="1"/>
  <c r="J31" i="2"/>
  <c r="J29" i="2"/>
  <c r="K30" i="2"/>
  <c r="L31" i="2"/>
  <c r="M32" i="2"/>
  <c r="N47" i="2"/>
  <c r="N46" i="2"/>
  <c r="N45" i="2"/>
  <c r="N44" i="2"/>
  <c r="L47" i="2"/>
  <c r="L46" i="2"/>
  <c r="L45" i="2"/>
  <c r="L44" i="2"/>
  <c r="L32" i="2"/>
  <c r="K31" i="2"/>
  <c r="N30" i="2"/>
  <c r="J30" i="2"/>
  <c r="M29" i="2"/>
  <c r="L28" i="2"/>
  <c r="K27" i="2"/>
  <c r="N26" i="2"/>
  <c r="J26" i="2"/>
  <c r="M47" i="2"/>
  <c r="M46" i="2"/>
  <c r="M45" i="2"/>
  <c r="M44" i="2"/>
  <c r="N32" i="2"/>
  <c r="J32" i="2"/>
  <c r="M31" i="2"/>
  <c r="L30" i="2"/>
  <c r="K29" i="2"/>
  <c r="N28" i="2"/>
  <c r="J28" i="2"/>
  <c r="M27" i="2"/>
  <c r="J27" i="2"/>
  <c r="K28" i="2"/>
  <c r="L29" i="2"/>
  <c r="M30" i="2"/>
  <c r="N31" i="2"/>
  <c r="K45" i="2"/>
  <c r="K26" i="2"/>
  <c r="L27" i="2"/>
  <c r="M28" i="2"/>
  <c r="N29" i="2"/>
  <c r="T367" i="1"/>
  <c r="G368" i="1" s="1"/>
  <c r="H367" i="1" s="1"/>
  <c r="H368" i="1" s="1"/>
  <c r="T325" i="1"/>
  <c r="T315" i="1"/>
  <c r="T299" i="1"/>
  <c r="G300" i="1" s="1"/>
  <c r="T287" i="1"/>
  <c r="G288" i="1" s="1"/>
  <c r="T277" i="1"/>
  <c r="T163" i="1"/>
  <c r="H183" i="1" s="1"/>
  <c r="T195" i="1"/>
  <c r="G196" i="1" s="1"/>
  <c r="L98" i="1"/>
  <c r="K98" i="1"/>
  <c r="N98" i="1"/>
  <c r="M98" i="1"/>
  <c r="P54" i="1"/>
  <c r="N6" i="1"/>
  <c r="K6" i="1"/>
  <c r="M51" i="2" l="1"/>
  <c r="B52" i="2"/>
  <c r="D52" i="2" s="1"/>
  <c r="N33" i="2"/>
  <c r="B34" i="2"/>
  <c r="D34" i="2" s="1"/>
  <c r="H184" i="1"/>
  <c r="I183" i="1" s="1"/>
  <c r="I184" i="1" s="1"/>
  <c r="J183" i="1" s="1"/>
  <c r="N49" i="2"/>
  <c r="N51" i="2"/>
  <c r="M50" i="2"/>
  <c r="L49" i="2"/>
  <c r="K49" i="2"/>
  <c r="M48" i="2"/>
  <c r="L51" i="2"/>
  <c r="K50" i="2"/>
  <c r="K51" i="2"/>
  <c r="L50" i="2"/>
  <c r="N50" i="2"/>
  <c r="K48" i="2"/>
  <c r="M49" i="2"/>
  <c r="L48" i="2"/>
  <c r="N48" i="2"/>
  <c r="L163" i="2"/>
  <c r="L175" i="2"/>
  <c r="L184" i="2"/>
  <c r="L204" i="2"/>
  <c r="L199" i="2"/>
  <c r="L194" i="2"/>
  <c r="L213" i="2"/>
  <c r="L225" i="2"/>
  <c r="N121" i="2"/>
  <c r="N116" i="2"/>
  <c r="L86" i="2"/>
  <c r="M121" i="2"/>
  <c r="M116" i="2"/>
  <c r="L192" i="2"/>
  <c r="L212" i="2"/>
  <c r="L84" i="2"/>
  <c r="L162" i="2"/>
  <c r="L174" i="2"/>
  <c r="L183" i="2"/>
  <c r="L203" i="2"/>
  <c r="L198" i="2"/>
  <c r="L193" i="2"/>
  <c r="L224" i="2"/>
  <c r="N120" i="2"/>
  <c r="N115" i="2"/>
  <c r="L222" i="2"/>
  <c r="L92" i="2"/>
  <c r="M120" i="2"/>
  <c r="M115" i="2"/>
  <c r="L88" i="2"/>
  <c r="M112" i="2"/>
  <c r="L172" i="2"/>
  <c r="L165" i="2"/>
  <c r="L161" i="2"/>
  <c r="L202" i="2"/>
  <c r="L197" i="2"/>
  <c r="L227" i="2"/>
  <c r="L223" i="2"/>
  <c r="N119" i="2"/>
  <c r="N114" i="2"/>
  <c r="L83" i="2"/>
  <c r="M119" i="2"/>
  <c r="M114" i="2"/>
  <c r="L90" i="2"/>
  <c r="N112" i="2"/>
  <c r="L164" i="2"/>
  <c r="L205" i="2"/>
  <c r="L200" i="2"/>
  <c r="N122" i="2"/>
  <c r="N118" i="2"/>
  <c r="L82" i="2"/>
  <c r="L91" i="2"/>
  <c r="M122" i="2"/>
  <c r="M118" i="2"/>
  <c r="M113" i="2"/>
  <c r="L89" i="2"/>
  <c r="H195" i="1"/>
  <c r="H196" i="1" s="1"/>
  <c r="I195" i="1" s="1"/>
  <c r="I196" i="1" s="1"/>
  <c r="J195" i="1" s="1"/>
  <c r="H207" i="1"/>
  <c r="M219" i="2"/>
  <c r="M220" i="2" s="1"/>
  <c r="N219" i="2" s="1"/>
  <c r="N220" i="2" s="1"/>
  <c r="M209" i="2"/>
  <c r="M210" i="2" s="1"/>
  <c r="M189" i="2"/>
  <c r="M190" i="2" s="1"/>
  <c r="N189" i="2" s="1"/>
  <c r="N190" i="2" s="1"/>
  <c r="M179" i="2"/>
  <c r="M180" i="2" s="1"/>
  <c r="M157" i="2"/>
  <c r="M158" i="2" s="1"/>
  <c r="N157" i="2" s="1"/>
  <c r="N158" i="2" s="1"/>
  <c r="M169" i="2"/>
  <c r="M170" i="2" s="1"/>
  <c r="N169" i="2" s="1"/>
  <c r="N170" i="2" s="1"/>
  <c r="H287" i="1"/>
  <c r="H288" i="1" s="1"/>
  <c r="H299" i="1"/>
  <c r="H300" i="1" s="1"/>
  <c r="G316" i="1"/>
  <c r="H315" i="1" s="1"/>
  <c r="H316" i="1" s="1"/>
  <c r="I315" i="1" s="1"/>
  <c r="I316" i="1" s="1"/>
  <c r="G326" i="1"/>
  <c r="H325" i="1" s="1"/>
  <c r="H326" i="1" s="1"/>
  <c r="I325" i="1" s="1"/>
  <c r="I326" i="1" s="1"/>
  <c r="G278" i="1"/>
  <c r="M79" i="2"/>
  <c r="M80" i="2" s="1"/>
  <c r="J350" i="1"/>
  <c r="K349" i="1" s="1"/>
  <c r="L10" i="2"/>
  <c r="N10" i="2"/>
  <c r="M10" i="2"/>
  <c r="J10" i="2"/>
  <c r="M33" i="2"/>
  <c r="J33" i="2"/>
  <c r="K33" i="2"/>
  <c r="B11" i="2"/>
  <c r="D11" i="2" s="1"/>
  <c r="J11" i="2" s="1"/>
  <c r="L33" i="2"/>
  <c r="I367" i="1"/>
  <c r="O6" i="1"/>
  <c r="M6" i="1"/>
  <c r="L6" i="1"/>
  <c r="J6" i="1"/>
  <c r="M52" i="2" l="1"/>
  <c r="N52" i="2"/>
  <c r="K52" i="2"/>
  <c r="L52" i="2"/>
  <c r="J34" i="2"/>
  <c r="K34" i="2"/>
  <c r="N34" i="2"/>
  <c r="L34" i="2"/>
  <c r="M34" i="2"/>
  <c r="N209" i="2"/>
  <c r="N210" i="2" s="1"/>
  <c r="N213" i="2" s="1"/>
  <c r="J184" i="1"/>
  <c r="K183" i="1" s="1"/>
  <c r="N225" i="2"/>
  <c r="N226" i="2"/>
  <c r="N223" i="2"/>
  <c r="N227" i="2"/>
  <c r="N222" i="2"/>
  <c r="N224" i="2"/>
  <c r="N163" i="2"/>
  <c r="N164" i="2"/>
  <c r="N161" i="2"/>
  <c r="N165" i="2"/>
  <c r="N160" i="2"/>
  <c r="N162" i="2"/>
  <c r="M162" i="2"/>
  <c r="M163" i="2"/>
  <c r="M164" i="2"/>
  <c r="M160" i="2"/>
  <c r="M161" i="2"/>
  <c r="M165" i="2"/>
  <c r="M183" i="2"/>
  <c r="M182" i="2"/>
  <c r="M184" i="2"/>
  <c r="N194" i="2"/>
  <c r="N199" i="2"/>
  <c r="N204" i="2"/>
  <c r="N195" i="2"/>
  <c r="N200" i="2"/>
  <c r="N205" i="2"/>
  <c r="N192" i="2"/>
  <c r="N197" i="2"/>
  <c r="N202" i="2"/>
  <c r="N193" i="2"/>
  <c r="N198" i="2"/>
  <c r="N203" i="2"/>
  <c r="M193" i="2"/>
  <c r="M198" i="2"/>
  <c r="M203" i="2"/>
  <c r="M194" i="2"/>
  <c r="M199" i="2"/>
  <c r="M204" i="2"/>
  <c r="M192" i="2"/>
  <c r="M195" i="2"/>
  <c r="M200" i="2"/>
  <c r="M205" i="2"/>
  <c r="M197" i="2"/>
  <c r="M202" i="2"/>
  <c r="N179" i="2"/>
  <c r="N180" i="2" s="1"/>
  <c r="N182" i="2" s="1"/>
  <c r="M84" i="2"/>
  <c r="M86" i="2"/>
  <c r="M83" i="2"/>
  <c r="M85" i="2"/>
  <c r="M89" i="2"/>
  <c r="M91" i="2"/>
  <c r="M88" i="2"/>
  <c r="M82" i="2"/>
  <c r="M92" i="2"/>
  <c r="M90" i="2"/>
  <c r="N175" i="2"/>
  <c r="N172" i="2"/>
  <c r="N173" i="2"/>
  <c r="N174" i="2"/>
  <c r="M174" i="2"/>
  <c r="M172" i="2"/>
  <c r="M175" i="2"/>
  <c r="M173" i="2"/>
  <c r="M213" i="2"/>
  <c r="M212" i="2"/>
  <c r="M214" i="2"/>
  <c r="M224" i="2"/>
  <c r="M222" i="2"/>
  <c r="M225" i="2"/>
  <c r="M226" i="2"/>
  <c r="M223" i="2"/>
  <c r="M227" i="2"/>
  <c r="H208" i="1"/>
  <c r="I207" i="1" s="1"/>
  <c r="I208" i="1" s="1"/>
  <c r="J207" i="1" s="1"/>
  <c r="I287" i="1"/>
  <c r="I288" i="1" s="1"/>
  <c r="I299" i="1"/>
  <c r="I300" i="1" s="1"/>
  <c r="H277" i="1"/>
  <c r="H278" i="1" s="1"/>
  <c r="N79" i="2"/>
  <c r="N80" i="2" s="1"/>
  <c r="K350" i="1"/>
  <c r="L349" i="1" s="1"/>
  <c r="M11" i="2"/>
  <c r="K11" i="2"/>
  <c r="L11" i="2"/>
  <c r="N11" i="2"/>
  <c r="B12" i="2"/>
  <c r="D12" i="2" s="1"/>
  <c r="I368" i="1"/>
  <c r="J367" i="1" s="1"/>
  <c r="J325" i="1"/>
  <c r="J326" i="1" s="1"/>
  <c r="J315" i="1"/>
  <c r="J196" i="1"/>
  <c r="K195" i="1" s="1"/>
  <c r="N212" i="2" l="1"/>
  <c r="N214" i="2"/>
  <c r="K184" i="1"/>
  <c r="L183" i="1" s="1"/>
  <c r="N90" i="2"/>
  <c r="N92" i="2"/>
  <c r="N83" i="2"/>
  <c r="N84" i="2"/>
  <c r="N86" i="2"/>
  <c r="N88" i="2"/>
  <c r="N89" i="2"/>
  <c r="N85" i="2"/>
  <c r="N91" i="2"/>
  <c r="N82" i="2"/>
  <c r="N184" i="2"/>
  <c r="N183" i="2"/>
  <c r="J208" i="1"/>
  <c r="K207" i="1" s="1"/>
  <c r="J299" i="1"/>
  <c r="J300" i="1" s="1"/>
  <c r="J287" i="1"/>
  <c r="J288" i="1" s="1"/>
  <c r="I277" i="1"/>
  <c r="I278" i="1" s="1"/>
  <c r="L239" i="2"/>
  <c r="L240" i="2" s="1"/>
  <c r="L350" i="1"/>
  <c r="M349" i="1" s="1"/>
  <c r="K12" i="2"/>
  <c r="L12" i="2"/>
  <c r="J12" i="2"/>
  <c r="N12" i="2"/>
  <c r="M12" i="2"/>
  <c r="B13" i="2"/>
  <c r="D13" i="2" s="1"/>
  <c r="J368" i="1"/>
  <c r="K367" i="1" s="1"/>
  <c r="K325" i="1"/>
  <c r="K326" i="1" s="1"/>
  <c r="J316" i="1"/>
  <c r="K315" i="1" s="1"/>
  <c r="K196" i="1"/>
  <c r="L195" i="1" s="1"/>
  <c r="L184" i="1" l="1"/>
  <c r="M183" i="1" s="1"/>
  <c r="L244" i="2"/>
  <c r="L242" i="2"/>
  <c r="L243" i="2"/>
  <c r="K208" i="1"/>
  <c r="L207" i="1" s="1"/>
  <c r="M239" i="2"/>
  <c r="M240" i="2" s="1"/>
  <c r="K287" i="1"/>
  <c r="K288" i="1" s="1"/>
  <c r="K299" i="1"/>
  <c r="K300" i="1" s="1"/>
  <c r="J277" i="1"/>
  <c r="J278" i="1" s="1"/>
  <c r="M350" i="1"/>
  <c r="N349" i="1" s="1"/>
  <c r="N350" i="1" s="1"/>
  <c r="O349" i="1" s="1"/>
  <c r="O350" i="1" s="1"/>
  <c r="P349" i="1" s="1"/>
  <c r="P350" i="1" s="1"/>
  <c r="L13" i="2"/>
  <c r="J13" i="2"/>
  <c r="M13" i="2"/>
  <c r="K13" i="2"/>
  <c r="N13" i="2"/>
  <c r="B14" i="2"/>
  <c r="D14" i="2" s="1"/>
  <c r="K368" i="1"/>
  <c r="L367" i="1" s="1"/>
  <c r="L325" i="1"/>
  <c r="K316" i="1"/>
  <c r="L315" i="1" s="1"/>
  <c r="L196" i="1"/>
  <c r="M195" i="1" s="1"/>
  <c r="M184" i="1" l="1"/>
  <c r="N183" i="1" s="1"/>
  <c r="M243" i="2"/>
  <c r="M244" i="2"/>
  <c r="M242" i="2"/>
  <c r="L208" i="1"/>
  <c r="M207" i="1" s="1"/>
  <c r="L299" i="1"/>
  <c r="L300" i="1" s="1"/>
  <c r="L287" i="1"/>
  <c r="L288" i="1" s="1"/>
  <c r="K277" i="1"/>
  <c r="K278" i="1" s="1"/>
  <c r="N239" i="2"/>
  <c r="N240" i="2" s="1"/>
  <c r="N14" i="2"/>
  <c r="L14" i="2"/>
  <c r="M14" i="2"/>
  <c r="K14" i="2"/>
  <c r="J14" i="2"/>
  <c r="B15" i="2"/>
  <c r="D15" i="2" s="1"/>
  <c r="B16" i="2" s="1"/>
  <c r="D16" i="2" s="1"/>
  <c r="L368" i="1"/>
  <c r="M367" i="1" s="1"/>
  <c r="L326" i="1"/>
  <c r="M325" i="1" s="1"/>
  <c r="L316" i="1"/>
  <c r="M315" i="1" s="1"/>
  <c r="M196" i="1"/>
  <c r="N195" i="1" s="1"/>
  <c r="N196" i="1" s="1"/>
  <c r="O195" i="1" s="1"/>
  <c r="O196" i="1" s="1"/>
  <c r="P195" i="1" s="1"/>
  <c r="P196" i="1" s="1"/>
  <c r="J16" i="2" l="1"/>
  <c r="K16" i="2"/>
  <c r="N16" i="2"/>
  <c r="L16" i="2"/>
  <c r="M16" i="2"/>
  <c r="N184" i="1"/>
  <c r="O183" i="1" s="1"/>
  <c r="O184" i="1" s="1"/>
  <c r="P183" i="1" s="1"/>
  <c r="P184" i="1" s="1"/>
  <c r="N242" i="2"/>
  <c r="N244" i="2"/>
  <c r="N243" i="2"/>
  <c r="M208" i="1"/>
  <c r="N207" i="1" s="1"/>
  <c r="N208" i="1" s="1"/>
  <c r="O207" i="1" s="1"/>
  <c r="O208" i="1" s="1"/>
  <c r="P207" i="1" s="1"/>
  <c r="P208" i="1" s="1"/>
  <c r="M287" i="1"/>
  <c r="M288" i="1" s="1"/>
  <c r="M299" i="1"/>
  <c r="M300" i="1" s="1"/>
  <c r="L277" i="1"/>
  <c r="L278" i="1" s="1"/>
  <c r="N15" i="2"/>
  <c r="M15" i="2"/>
  <c r="L15" i="2"/>
  <c r="K15" i="2"/>
  <c r="J15" i="2"/>
  <c r="M368" i="1"/>
  <c r="N367" i="1" s="1"/>
  <c r="N368" i="1" s="1"/>
  <c r="O367" i="1" s="1"/>
  <c r="O368" i="1" s="1"/>
  <c r="P367" i="1" s="1"/>
  <c r="P368" i="1" s="1"/>
  <c r="M326" i="1"/>
  <c r="N325" i="1" s="1"/>
  <c r="N326" i="1" s="1"/>
  <c r="O325" i="1" s="1"/>
  <c r="O326" i="1" s="1"/>
  <c r="P325" i="1" s="1"/>
  <c r="P326" i="1" s="1"/>
  <c r="M316" i="1"/>
  <c r="N315" i="1" s="1"/>
  <c r="N316" i="1" s="1"/>
  <c r="O315" i="1" s="1"/>
  <c r="O316" i="1" s="1"/>
  <c r="P315" i="1" s="1"/>
  <c r="P316" i="1" s="1"/>
  <c r="N299" i="1" l="1"/>
  <c r="N300" i="1" s="1"/>
  <c r="O299" i="1" s="1"/>
  <c r="O300" i="1" s="1"/>
  <c r="P299" i="1" s="1"/>
  <c r="P300" i="1" s="1"/>
  <c r="N287" i="1"/>
  <c r="N288" i="1" s="1"/>
  <c r="O287" i="1" s="1"/>
  <c r="O288" i="1" s="1"/>
  <c r="P287" i="1" s="1"/>
  <c r="P288" i="1" s="1"/>
  <c r="M277" i="1"/>
  <c r="M278" i="1" s="1"/>
  <c r="U1" i="1"/>
  <c r="P341" i="1" l="1"/>
  <c r="P338" i="1"/>
  <c r="P340" i="1"/>
  <c r="P339" i="1"/>
  <c r="L144" i="1"/>
  <c r="P390" i="1"/>
  <c r="P385" i="1"/>
  <c r="P377" i="1"/>
  <c r="P392" i="1"/>
  <c r="P376" i="1"/>
  <c r="P379" i="1"/>
  <c r="P378" i="1"/>
  <c r="P384" i="1"/>
  <c r="P391" i="1"/>
  <c r="P231" i="1"/>
  <c r="P230" i="1"/>
  <c r="P238" i="1"/>
  <c r="P247" i="1"/>
  <c r="P246" i="1"/>
  <c r="P229" i="1"/>
  <c r="P239" i="1"/>
  <c r="P245" i="1"/>
  <c r="P236" i="1"/>
  <c r="P244" i="1"/>
  <c r="P237" i="1"/>
  <c r="P228" i="1"/>
  <c r="O362" i="1"/>
  <c r="P146" i="1"/>
  <c r="P148" i="1"/>
  <c r="P149" i="1"/>
  <c r="P147" i="1"/>
  <c r="P144" i="1"/>
  <c r="P145" i="1"/>
  <c r="P222" i="1"/>
  <c r="P220" i="1"/>
  <c r="P221" i="1"/>
  <c r="P223" i="1"/>
  <c r="O363" i="1"/>
  <c r="P363" i="1"/>
  <c r="P362" i="1"/>
  <c r="P157" i="1"/>
  <c r="P191" i="1"/>
  <c r="P158" i="1"/>
  <c r="P156" i="1"/>
  <c r="O186" i="1"/>
  <c r="P190" i="1"/>
  <c r="P186" i="1"/>
  <c r="O191" i="1"/>
  <c r="O187" i="1"/>
  <c r="P187" i="1"/>
  <c r="O190" i="1"/>
  <c r="O210" i="1"/>
  <c r="O199" i="1"/>
  <c r="O214" i="1"/>
  <c r="O201" i="1"/>
  <c r="O211" i="1"/>
  <c r="O213" i="1"/>
  <c r="O198" i="1"/>
  <c r="O212" i="1"/>
  <c r="O202" i="1"/>
  <c r="O200" i="1"/>
  <c r="P214" i="1"/>
  <c r="P211" i="1"/>
  <c r="P213" i="1"/>
  <c r="P200" i="1"/>
  <c r="P210" i="1"/>
  <c r="P212" i="1"/>
  <c r="P202" i="1"/>
  <c r="P201" i="1"/>
  <c r="P198" i="1"/>
  <c r="P199" i="1"/>
  <c r="O157" i="1"/>
  <c r="O158" i="1"/>
  <c r="O156" i="1"/>
  <c r="O145" i="1"/>
  <c r="O147" i="1"/>
  <c r="O144" i="1"/>
  <c r="O146" i="1"/>
  <c r="O148" i="1"/>
  <c r="N144" i="1"/>
  <c r="O149" i="1"/>
  <c r="M187" i="1"/>
  <c r="H187" i="1"/>
  <c r="G187" i="1"/>
  <c r="I187" i="1"/>
  <c r="J187" i="1"/>
  <c r="K187" i="1"/>
  <c r="L187" i="1"/>
  <c r="N187" i="1"/>
  <c r="N186" i="1"/>
  <c r="J186" i="1"/>
  <c r="K186" i="1"/>
  <c r="L186" i="1"/>
  <c r="M186" i="1"/>
  <c r="G186" i="1"/>
  <c r="H186" i="1"/>
  <c r="I186" i="1"/>
  <c r="J191" i="1"/>
  <c r="L190" i="1"/>
  <c r="K191" i="1"/>
  <c r="H190" i="1"/>
  <c r="M190" i="1"/>
  <c r="H191" i="1"/>
  <c r="K190" i="1"/>
  <c r="M191" i="1"/>
  <c r="G191" i="1"/>
  <c r="J190" i="1"/>
  <c r="G190" i="1"/>
  <c r="L191" i="1"/>
  <c r="N191" i="1"/>
  <c r="N190" i="1"/>
  <c r="I191" i="1"/>
  <c r="I190" i="1"/>
  <c r="G362" i="1"/>
  <c r="G363" i="1"/>
  <c r="H362" i="1"/>
  <c r="H363" i="1"/>
  <c r="I363" i="1"/>
  <c r="I362" i="1"/>
  <c r="J362" i="1"/>
  <c r="J363" i="1"/>
  <c r="K363" i="1"/>
  <c r="K362" i="1"/>
  <c r="L362" i="1"/>
  <c r="L363" i="1"/>
  <c r="M363" i="1"/>
  <c r="M362" i="1"/>
  <c r="N363" i="1"/>
  <c r="N362" i="1"/>
  <c r="G210" i="1"/>
  <c r="K210" i="1"/>
  <c r="H211" i="1"/>
  <c r="L211" i="1"/>
  <c r="I212" i="1"/>
  <c r="M212" i="1"/>
  <c r="J213" i="1"/>
  <c r="G214" i="1"/>
  <c r="K214" i="1"/>
  <c r="N213" i="1"/>
  <c r="H210" i="1"/>
  <c r="L210" i="1"/>
  <c r="I211" i="1"/>
  <c r="M211" i="1"/>
  <c r="J212" i="1"/>
  <c r="G213" i="1"/>
  <c r="K213" i="1"/>
  <c r="H214" i="1"/>
  <c r="L214" i="1"/>
  <c r="N212" i="1"/>
  <c r="I210" i="1"/>
  <c r="M210" i="1"/>
  <c r="J211" i="1"/>
  <c r="G212" i="1"/>
  <c r="K212" i="1"/>
  <c r="H213" i="1"/>
  <c r="L213" i="1"/>
  <c r="I214" i="1"/>
  <c r="M214" i="1"/>
  <c r="N211" i="1"/>
  <c r="J210" i="1"/>
  <c r="G211" i="1"/>
  <c r="K211" i="1"/>
  <c r="H212" i="1"/>
  <c r="L212" i="1"/>
  <c r="I213" i="1"/>
  <c r="M213" i="1"/>
  <c r="J214" i="1"/>
  <c r="N214" i="1"/>
  <c r="N210" i="1"/>
  <c r="N371" i="1"/>
  <c r="I371" i="1" s="1"/>
  <c r="N354" i="1"/>
  <c r="H354" i="1" s="1"/>
  <c r="N333" i="1"/>
  <c r="K333" i="1" s="1"/>
  <c r="N329" i="1"/>
  <c r="G329" i="1" s="1"/>
  <c r="N320" i="1"/>
  <c r="K320" i="1" s="1"/>
  <c r="N353" i="1"/>
  <c r="G353" i="1" s="1"/>
  <c r="N328" i="1"/>
  <c r="J328" i="1" s="1"/>
  <c r="N332" i="1"/>
  <c r="I332" i="1" s="1"/>
  <c r="N319" i="1"/>
  <c r="P319" i="1" s="1"/>
  <c r="N352" i="1"/>
  <c r="H352" i="1" s="1"/>
  <c r="N331" i="1"/>
  <c r="K331" i="1" s="1"/>
  <c r="N370" i="1"/>
  <c r="M370" i="1" s="1"/>
  <c r="N330" i="1"/>
  <c r="M330" i="1" s="1"/>
  <c r="N318" i="1"/>
  <c r="O318" i="1" s="1"/>
  <c r="N311" i="1"/>
  <c r="H311" i="1" s="1"/>
  <c r="N304" i="1"/>
  <c r="K304" i="1" s="1"/>
  <c r="N292" i="1"/>
  <c r="O292" i="1" s="1"/>
  <c r="N261" i="1"/>
  <c r="G261" i="1" s="1"/>
  <c r="N273" i="1"/>
  <c r="I273" i="1" s="1"/>
  <c r="N282" i="1"/>
  <c r="N145" i="1"/>
  <c r="L147" i="1"/>
  <c r="M148" i="1"/>
  <c r="N310" i="1"/>
  <c r="H310" i="1" s="1"/>
  <c r="N303" i="1"/>
  <c r="L303" i="1" s="1"/>
  <c r="N291" i="1"/>
  <c r="O291" i="1" s="1"/>
  <c r="N260" i="1"/>
  <c r="H260" i="1" s="1"/>
  <c r="N272" i="1"/>
  <c r="K272" i="1" s="1"/>
  <c r="N281" i="1"/>
  <c r="N149" i="1"/>
  <c r="L146" i="1"/>
  <c r="M147" i="1"/>
  <c r="N148" i="1"/>
  <c r="M144" i="1"/>
  <c r="N309" i="1"/>
  <c r="G309" i="1" s="1"/>
  <c r="N302" i="1"/>
  <c r="L302" i="1" s="1"/>
  <c r="N290" i="1"/>
  <c r="O290" i="1" s="1"/>
  <c r="N259" i="1"/>
  <c r="J259" i="1" s="1"/>
  <c r="N271" i="1"/>
  <c r="I271" i="1" s="1"/>
  <c r="N280" i="1"/>
  <c r="L145" i="1"/>
  <c r="M146" i="1"/>
  <c r="N147" i="1"/>
  <c r="L149" i="1"/>
  <c r="N308" i="1"/>
  <c r="O308" i="1" s="1"/>
  <c r="N305" i="1"/>
  <c r="J305" i="1" s="1"/>
  <c r="N293" i="1"/>
  <c r="P293" i="1" s="1"/>
  <c r="N262" i="1"/>
  <c r="H262" i="1" s="1"/>
  <c r="N258" i="1"/>
  <c r="N270" i="1"/>
  <c r="M145" i="1"/>
  <c r="N146" i="1"/>
  <c r="L148" i="1"/>
  <c r="M149" i="1"/>
  <c r="L158" i="1"/>
  <c r="M156" i="1"/>
  <c r="L157" i="1"/>
  <c r="M158" i="1"/>
  <c r="L156" i="1"/>
  <c r="M157" i="1"/>
  <c r="N158" i="1"/>
  <c r="N157" i="1"/>
  <c r="N156" i="1"/>
  <c r="N277" i="1"/>
  <c r="N278" i="1" s="1"/>
  <c r="O277" i="1" s="1"/>
  <c r="O278" i="1" s="1"/>
  <c r="P277" i="1" s="1"/>
  <c r="P278" i="1" s="1"/>
  <c r="N198" i="1"/>
  <c r="G198" i="1"/>
  <c r="J198" i="1"/>
  <c r="K199" i="1"/>
  <c r="H200" i="1"/>
  <c r="L200" i="1"/>
  <c r="I201" i="1"/>
  <c r="M201" i="1"/>
  <c r="J202" i="1"/>
  <c r="N202" i="1"/>
  <c r="G202" i="1"/>
  <c r="I198" i="1"/>
  <c r="J199" i="1"/>
  <c r="K200" i="1"/>
  <c r="I202" i="1"/>
  <c r="K198" i="1"/>
  <c r="H199" i="1"/>
  <c r="L199" i="1"/>
  <c r="I200" i="1"/>
  <c r="M200" i="1"/>
  <c r="J201" i="1"/>
  <c r="N201" i="1"/>
  <c r="K202" i="1"/>
  <c r="G201" i="1"/>
  <c r="H201" i="1"/>
  <c r="H198" i="1"/>
  <c r="L198" i="1"/>
  <c r="I199" i="1"/>
  <c r="M199" i="1"/>
  <c r="J200" i="1"/>
  <c r="N200" i="1"/>
  <c r="K201" i="1"/>
  <c r="H202" i="1"/>
  <c r="L202" i="1"/>
  <c r="G200" i="1"/>
  <c r="M198" i="1"/>
  <c r="N199" i="1"/>
  <c r="L201" i="1"/>
  <c r="M202" i="1"/>
  <c r="G199" i="1"/>
  <c r="T55" i="1"/>
  <c r="D56" i="1" s="1"/>
  <c r="N56" i="1" s="1"/>
  <c r="O273" i="1" l="1"/>
  <c r="P260" i="1"/>
  <c r="O293" i="1"/>
  <c r="O319" i="1"/>
  <c r="O320" i="1"/>
  <c r="M290" i="1"/>
  <c r="O305" i="1"/>
  <c r="P290" i="1"/>
  <c r="P309" i="1"/>
  <c r="O259" i="1"/>
  <c r="M259" i="1"/>
  <c r="P311" i="1"/>
  <c r="O329" i="1"/>
  <c r="M318" i="1"/>
  <c r="P318" i="1"/>
  <c r="P371" i="1"/>
  <c r="P303" i="1"/>
  <c r="O262" i="1"/>
  <c r="O354" i="1"/>
  <c r="P331" i="1"/>
  <c r="P292" i="1"/>
  <c r="P262" i="1"/>
  <c r="P330" i="1"/>
  <c r="P333" i="1"/>
  <c r="P259" i="1"/>
  <c r="P353" i="1"/>
  <c r="O309" i="1"/>
  <c r="P370" i="1"/>
  <c r="H270" i="1"/>
  <c r="P291" i="1"/>
  <c r="P352" i="1"/>
  <c r="O261" i="1"/>
  <c r="P320" i="1"/>
  <c r="M302" i="1"/>
  <c r="O370" i="1"/>
  <c r="P272" i="1"/>
  <c r="O310" i="1"/>
  <c r="O272" i="1"/>
  <c r="O331" i="1"/>
  <c r="O302" i="1"/>
  <c r="P273" i="1"/>
  <c r="P308" i="1"/>
  <c r="O332" i="1"/>
  <c r="P310" i="1"/>
  <c r="P304" i="1"/>
  <c r="P305" i="1"/>
  <c r="O311" i="1"/>
  <c r="O353" i="1"/>
  <c r="P332" i="1"/>
  <c r="O328" i="1"/>
  <c r="P302" i="1"/>
  <c r="O330" i="1"/>
  <c r="O303" i="1"/>
  <c r="M352" i="1"/>
  <c r="O304" i="1"/>
  <c r="M328" i="1"/>
  <c r="O333" i="1"/>
  <c r="P271" i="1"/>
  <c r="O371" i="1"/>
  <c r="P328" i="1"/>
  <c r="P261" i="1"/>
  <c r="P329" i="1"/>
  <c r="P354" i="1"/>
  <c r="O271" i="1"/>
  <c r="O260" i="1"/>
  <c r="O352" i="1"/>
  <c r="L261" i="1"/>
  <c r="H261" i="1"/>
  <c r="I272" i="1"/>
  <c r="I261" i="1"/>
  <c r="J371" i="1"/>
  <c r="K261" i="1"/>
  <c r="J261" i="1"/>
  <c r="K371" i="1"/>
  <c r="M261" i="1"/>
  <c r="G371" i="1"/>
  <c r="M272" i="1"/>
  <c r="L371" i="1"/>
  <c r="H371" i="1"/>
  <c r="M371" i="1"/>
  <c r="M260" i="1"/>
  <c r="H328" i="1"/>
  <c r="M333" i="1"/>
  <c r="L333" i="1"/>
  <c r="G328" i="1"/>
  <c r="L329" i="1"/>
  <c r="L260" i="1"/>
  <c r="J271" i="1"/>
  <c r="L271" i="1"/>
  <c r="K271" i="1"/>
  <c r="H271" i="1"/>
  <c r="G271" i="1"/>
  <c r="I260" i="1"/>
  <c r="J354" i="1"/>
  <c r="G272" i="1"/>
  <c r="K354" i="1"/>
  <c r="I354" i="1"/>
  <c r="M353" i="1"/>
  <c r="I353" i="1"/>
  <c r="K353" i="1"/>
  <c r="L332" i="1"/>
  <c r="J352" i="1"/>
  <c r="M329" i="1"/>
  <c r="J260" i="1"/>
  <c r="J329" i="1"/>
  <c r="K352" i="1"/>
  <c r="G333" i="1"/>
  <c r="G352" i="1"/>
  <c r="K332" i="1"/>
  <c r="H353" i="1"/>
  <c r="H333" i="1"/>
  <c r="L320" i="1"/>
  <c r="G319" i="1"/>
  <c r="M319" i="1"/>
  <c r="M271" i="1"/>
  <c r="J270" i="1"/>
  <c r="K270" i="1"/>
  <c r="G320" i="1"/>
  <c r="J333" i="1"/>
  <c r="L330" i="1"/>
  <c r="G354" i="1"/>
  <c r="I333" i="1"/>
  <c r="I329" i="1"/>
  <c r="L353" i="1"/>
  <c r="M320" i="1"/>
  <c r="J330" i="1"/>
  <c r="M354" i="1"/>
  <c r="J353" i="1"/>
  <c r="G270" i="1"/>
  <c r="M270" i="1"/>
  <c r="K302" i="1"/>
  <c r="H332" i="1"/>
  <c r="G332" i="1"/>
  <c r="G331" i="1"/>
  <c r="J302" i="1"/>
  <c r="M332" i="1"/>
  <c r="J331" i="1"/>
  <c r="K330" i="1"/>
  <c r="L318" i="1"/>
  <c r="G318" i="1"/>
  <c r="K318" i="1"/>
  <c r="H318" i="1"/>
  <c r="I318" i="1"/>
  <c r="J318" i="1"/>
  <c r="J308" i="1"/>
  <c r="M308" i="1"/>
  <c r="K262" i="1"/>
  <c r="I328" i="1"/>
  <c r="J272" i="1"/>
  <c r="L272" i="1"/>
  <c r="H272" i="1"/>
  <c r="K259" i="1"/>
  <c r="I262" i="1"/>
  <c r="I319" i="1"/>
  <c r="H330" i="1"/>
  <c r="J320" i="1"/>
  <c r="G330" i="1"/>
  <c r="I320" i="1"/>
  <c r="J332" i="1"/>
  <c r="L370" i="1"/>
  <c r="H320" i="1"/>
  <c r="I330" i="1"/>
  <c r="L352" i="1"/>
  <c r="K370" i="1"/>
  <c r="G273" i="1"/>
  <c r="L273" i="1"/>
  <c r="H273" i="1"/>
  <c r="K273" i="1"/>
  <c r="I259" i="1"/>
  <c r="H259" i="1"/>
  <c r="L259" i="1"/>
  <c r="J262" i="1"/>
  <c r="J370" i="1"/>
  <c r="L319" i="1"/>
  <c r="I370" i="1"/>
  <c r="K319" i="1"/>
  <c r="L331" i="1"/>
  <c r="H329" i="1"/>
  <c r="I352" i="1"/>
  <c r="H370" i="1"/>
  <c r="J319" i="1"/>
  <c r="K329" i="1"/>
  <c r="L354" i="1"/>
  <c r="G370" i="1"/>
  <c r="J273" i="1"/>
  <c r="M273" i="1"/>
  <c r="G259" i="1"/>
  <c r="L328" i="1"/>
  <c r="H319" i="1"/>
  <c r="I331" i="1"/>
  <c r="K328" i="1"/>
  <c r="H331" i="1"/>
  <c r="M331" i="1"/>
  <c r="I270" i="1"/>
  <c r="G308" i="1"/>
  <c r="M303" i="1"/>
  <c r="I311" i="1"/>
  <c r="K308" i="1"/>
  <c r="L305" i="1"/>
  <c r="H303" i="1"/>
  <c r="J310" i="1"/>
  <c r="M304" i="1"/>
  <c r="I302" i="1"/>
  <c r="K309" i="1"/>
  <c r="L304" i="1"/>
  <c r="H302" i="1"/>
  <c r="J309" i="1"/>
  <c r="M305" i="1"/>
  <c r="I303" i="1"/>
  <c r="K310" i="1"/>
  <c r="H305" i="1"/>
  <c r="L309" i="1"/>
  <c r="G304" i="1"/>
  <c r="I304" i="1"/>
  <c r="K311" i="1"/>
  <c r="G305" i="1"/>
  <c r="H304" i="1"/>
  <c r="J311" i="1"/>
  <c r="L308" i="1"/>
  <c r="I305" i="1"/>
  <c r="M309" i="1"/>
  <c r="G303" i="1"/>
  <c r="J304" i="1"/>
  <c r="L311" i="1"/>
  <c r="H309" i="1"/>
  <c r="K260" i="1"/>
  <c r="G310" i="1"/>
  <c r="K303" i="1"/>
  <c r="M310" i="1"/>
  <c r="I308" i="1"/>
  <c r="G260" i="1"/>
  <c r="G311" i="1"/>
  <c r="J303" i="1"/>
  <c r="L310" i="1"/>
  <c r="H308" i="1"/>
  <c r="M262" i="1"/>
  <c r="L262" i="1"/>
  <c r="G302" i="1"/>
  <c r="M311" i="1"/>
  <c r="I309" i="1"/>
  <c r="G262" i="1"/>
  <c r="K305" i="1"/>
  <c r="I310" i="1"/>
  <c r="H293" i="1"/>
  <c r="L293" i="1"/>
  <c r="I293" i="1"/>
  <c r="M293" i="1"/>
  <c r="J293" i="1"/>
  <c r="G293" i="1"/>
  <c r="K293" i="1"/>
  <c r="I292" i="1"/>
  <c r="M292" i="1"/>
  <c r="G292" i="1"/>
  <c r="J292" i="1"/>
  <c r="K292" i="1"/>
  <c r="H292" i="1"/>
  <c r="L292" i="1"/>
  <c r="J291" i="1"/>
  <c r="K291" i="1"/>
  <c r="H291" i="1"/>
  <c r="L291" i="1"/>
  <c r="G291" i="1"/>
  <c r="M291" i="1"/>
  <c r="I291" i="1"/>
  <c r="K290" i="1"/>
  <c r="G290" i="1"/>
  <c r="H290" i="1"/>
  <c r="L290" i="1"/>
  <c r="I290" i="1"/>
  <c r="J290" i="1"/>
  <c r="M56" i="1"/>
  <c r="P56" i="1"/>
  <c r="O56" i="1"/>
  <c r="G164" i="1"/>
  <c r="O270" i="1" l="1"/>
  <c r="L270" i="1"/>
  <c r="P270" i="1"/>
  <c r="G166" i="1"/>
  <c r="G169" i="1"/>
  <c r="G168" i="1"/>
  <c r="G177" i="1"/>
  <c r="G170" i="1"/>
  <c r="H163" i="1"/>
  <c r="H164" i="1" s="1"/>
  <c r="G179" i="1"/>
  <c r="G176" i="1"/>
  <c r="G174" i="1"/>
  <c r="G167" i="1"/>
  <c r="G178" i="1"/>
  <c r="G175" i="1"/>
  <c r="G171" i="1"/>
  <c r="T141" i="1"/>
  <c r="T99" i="1"/>
  <c r="D100" i="1" s="1"/>
  <c r="K100" i="1" s="1"/>
  <c r="B57" i="1"/>
  <c r="T8" i="1"/>
  <c r="D8" i="1" s="1"/>
  <c r="I8" i="1" s="1"/>
  <c r="H177" i="1" l="1"/>
  <c r="H169" i="1"/>
  <c r="I163" i="1"/>
  <c r="I164" i="1" s="1"/>
  <c r="H166" i="1"/>
  <c r="H178" i="1"/>
  <c r="H175" i="1"/>
  <c r="H171" i="1"/>
  <c r="H168" i="1"/>
  <c r="H179" i="1"/>
  <c r="H176" i="1"/>
  <c r="H174" i="1"/>
  <c r="H170" i="1"/>
  <c r="H167" i="1"/>
  <c r="L142" i="1"/>
  <c r="M141" i="1" s="1"/>
  <c r="M142" i="1" s="1"/>
  <c r="N141" i="1" s="1"/>
  <c r="N142" i="1" s="1"/>
  <c r="O141" i="1" s="1"/>
  <c r="O142" i="1" s="1"/>
  <c r="P141" i="1" s="1"/>
  <c r="P142" i="1" s="1"/>
  <c r="M153" i="1"/>
  <c r="N8" i="1"/>
  <c r="O8" i="1"/>
  <c r="L8" i="1"/>
  <c r="J8" i="1"/>
  <c r="P8" i="1"/>
  <c r="K8" i="1"/>
  <c r="M8" i="1"/>
  <c r="B101" i="1"/>
  <c r="D101" i="1" s="1"/>
  <c r="L100" i="1"/>
  <c r="M100" i="1"/>
  <c r="O100" i="1"/>
  <c r="N100" i="1"/>
  <c r="P100" i="1"/>
  <c r="D57" i="1"/>
  <c r="B9" i="1"/>
  <c r="D9" i="1" s="1"/>
  <c r="M154" i="1" l="1"/>
  <c r="N153" i="1" s="1"/>
  <c r="I169" i="1"/>
  <c r="I177" i="1"/>
  <c r="M57" i="1"/>
  <c r="N57" i="1"/>
  <c r="O57" i="1"/>
  <c r="J163" i="1"/>
  <c r="J164" i="1" s="1"/>
  <c r="I166" i="1"/>
  <c r="I178" i="1"/>
  <c r="I175" i="1"/>
  <c r="I171" i="1"/>
  <c r="I168" i="1"/>
  <c r="I179" i="1"/>
  <c r="I176" i="1"/>
  <c r="I174" i="1"/>
  <c r="I170" i="1"/>
  <c r="I167" i="1"/>
  <c r="B58" i="1"/>
  <c r="D58" i="1" s="1"/>
  <c r="P57" i="1"/>
  <c r="O9" i="1"/>
  <c r="N9" i="1"/>
  <c r="M9" i="1"/>
  <c r="K9" i="1"/>
  <c r="J9" i="1"/>
  <c r="P9" i="1"/>
  <c r="L9" i="1"/>
  <c r="I9" i="1"/>
  <c r="B102" i="1"/>
  <c r="D102" i="1" s="1"/>
  <c r="K101" i="1"/>
  <c r="P101" i="1"/>
  <c r="O101" i="1"/>
  <c r="N101" i="1"/>
  <c r="L101" i="1"/>
  <c r="M101" i="1"/>
  <c r="B10" i="1"/>
  <c r="D10" i="1" s="1"/>
  <c r="N154" i="1" l="1"/>
  <c r="O153" i="1" s="1"/>
  <c r="O154" i="1" s="1"/>
  <c r="P153" i="1" s="1"/>
  <c r="P154" i="1" s="1"/>
  <c r="J177" i="1"/>
  <c r="J169" i="1"/>
  <c r="O58" i="1"/>
  <c r="N58" i="1"/>
  <c r="M58" i="1"/>
  <c r="K163" i="1"/>
  <c r="K164" i="1" s="1"/>
  <c r="J166" i="1"/>
  <c r="J178" i="1"/>
  <c r="J175" i="1"/>
  <c r="J171" i="1"/>
  <c r="J168" i="1"/>
  <c r="J179" i="1"/>
  <c r="J176" i="1"/>
  <c r="J174" i="1"/>
  <c r="J170" i="1"/>
  <c r="J167" i="1"/>
  <c r="B59" i="1"/>
  <c r="D59" i="1" s="1"/>
  <c r="P58" i="1"/>
  <c r="K10" i="1"/>
  <c r="O10" i="1"/>
  <c r="M10" i="1"/>
  <c r="N10" i="1"/>
  <c r="J10" i="1"/>
  <c r="I10" i="1"/>
  <c r="L10" i="1"/>
  <c r="P10" i="1"/>
  <c r="B103" i="1"/>
  <c r="D103" i="1" s="1"/>
  <c r="K102" i="1"/>
  <c r="N102" i="1"/>
  <c r="O102" i="1"/>
  <c r="M102" i="1"/>
  <c r="L102" i="1"/>
  <c r="P102" i="1"/>
  <c r="B11" i="1"/>
  <c r="D11" i="1" s="1"/>
  <c r="K177" i="1" l="1"/>
  <c r="K169" i="1"/>
  <c r="M59" i="1"/>
  <c r="O59" i="1"/>
  <c r="N59" i="1"/>
  <c r="L163" i="1"/>
  <c r="L164" i="1" s="1"/>
  <c r="K166" i="1"/>
  <c r="K178" i="1"/>
  <c r="K175" i="1"/>
  <c r="K171" i="1"/>
  <c r="K168" i="1"/>
  <c r="K179" i="1"/>
  <c r="K176" i="1"/>
  <c r="K174" i="1"/>
  <c r="K170" i="1"/>
  <c r="K167" i="1"/>
  <c r="B104" i="1"/>
  <c r="D104" i="1" s="1"/>
  <c r="O103" i="1"/>
  <c r="N103" i="1"/>
  <c r="L103" i="1"/>
  <c r="M103" i="1"/>
  <c r="K103" i="1"/>
  <c r="P103" i="1"/>
  <c r="N11" i="1"/>
  <c r="P11" i="1"/>
  <c r="M11" i="1"/>
  <c r="O11" i="1"/>
  <c r="J11" i="1"/>
  <c r="I11" i="1"/>
  <c r="K11" i="1"/>
  <c r="L11" i="1"/>
  <c r="B60" i="1"/>
  <c r="D60" i="1" s="1"/>
  <c r="P59" i="1"/>
  <c r="B12" i="1"/>
  <c r="D12" i="1" s="1"/>
  <c r="L177" i="1" l="1"/>
  <c r="L169" i="1"/>
  <c r="O60" i="1"/>
  <c r="M60" i="1"/>
  <c r="N60" i="1"/>
  <c r="M163" i="1"/>
  <c r="M164" i="1" s="1"/>
  <c r="L179" i="1"/>
  <c r="L176" i="1"/>
  <c r="L174" i="1"/>
  <c r="L170" i="1"/>
  <c r="L167" i="1"/>
  <c r="L166" i="1"/>
  <c r="L178" i="1"/>
  <c r="L175" i="1"/>
  <c r="L171" i="1"/>
  <c r="L168" i="1"/>
  <c r="B61" i="1"/>
  <c r="D61" i="1" s="1"/>
  <c r="P60" i="1"/>
  <c r="K12" i="1"/>
  <c r="P12" i="1"/>
  <c r="L12" i="1"/>
  <c r="O12" i="1"/>
  <c r="I12" i="1"/>
  <c r="N12" i="1"/>
  <c r="J12" i="1"/>
  <c r="M12" i="1"/>
  <c r="B105" i="1"/>
  <c r="D105" i="1" s="1"/>
  <c r="N104" i="1"/>
  <c r="O104" i="1"/>
  <c r="M104" i="1"/>
  <c r="L104" i="1"/>
  <c r="P104" i="1"/>
  <c r="K104" i="1"/>
  <c r="B13" i="1"/>
  <c r="D13" i="1" s="1"/>
  <c r="M177" i="1" l="1"/>
  <c r="M169" i="1"/>
  <c r="N61" i="1"/>
  <c r="O61" i="1"/>
  <c r="M61" i="1"/>
  <c r="N163" i="1"/>
  <c r="N164" i="1" s="1"/>
  <c r="N166" i="1" s="1"/>
  <c r="M166" i="1"/>
  <c r="M178" i="1"/>
  <c r="M175" i="1"/>
  <c r="M171" i="1"/>
  <c r="M168" i="1"/>
  <c r="M179" i="1"/>
  <c r="M176" i="1"/>
  <c r="M174" i="1"/>
  <c r="M170" i="1"/>
  <c r="M167" i="1"/>
  <c r="B106" i="1"/>
  <c r="D106" i="1" s="1"/>
  <c r="L105" i="1"/>
  <c r="M105" i="1"/>
  <c r="K105" i="1"/>
  <c r="P105" i="1"/>
  <c r="O105" i="1"/>
  <c r="N105" i="1"/>
  <c r="N13" i="1"/>
  <c r="I13" i="1"/>
  <c r="M13" i="1"/>
  <c r="O13" i="1"/>
  <c r="P13" i="1"/>
  <c r="L13" i="1"/>
  <c r="J13" i="1"/>
  <c r="K13" i="1"/>
  <c r="B62" i="1"/>
  <c r="D62" i="1" s="1"/>
  <c r="P61" i="1"/>
  <c r="B14" i="1"/>
  <c r="D14" i="1" s="1"/>
  <c r="N171" i="1" l="1"/>
  <c r="O163" i="1"/>
  <c r="O164" i="1" s="1"/>
  <c r="N169" i="1"/>
  <c r="N177" i="1"/>
  <c r="N62" i="1"/>
  <c r="M62" i="1"/>
  <c r="O62" i="1"/>
  <c r="N178" i="1"/>
  <c r="N175" i="1"/>
  <c r="N168" i="1"/>
  <c r="N179" i="1"/>
  <c r="N176" i="1"/>
  <c r="N174" i="1"/>
  <c r="N170" i="1"/>
  <c r="N167" i="1"/>
  <c r="N14" i="1"/>
  <c r="J14" i="1"/>
  <c r="P14" i="1"/>
  <c r="O14" i="1"/>
  <c r="K14" i="1"/>
  <c r="I14" i="1"/>
  <c r="M14" i="1"/>
  <c r="L14" i="1"/>
  <c r="B63" i="1"/>
  <c r="D63" i="1" s="1"/>
  <c r="P62" i="1"/>
  <c r="B107" i="1"/>
  <c r="D107" i="1" s="1"/>
  <c r="M106" i="1"/>
  <c r="L106" i="1"/>
  <c r="P106" i="1"/>
  <c r="K106" i="1"/>
  <c r="O106" i="1"/>
  <c r="N106" i="1"/>
  <c r="B15" i="1"/>
  <c r="D15" i="1" s="1"/>
  <c r="P163" i="1" l="1"/>
  <c r="P164" i="1" s="1"/>
  <c r="O176" i="1"/>
  <c r="O171" i="1"/>
  <c r="O168" i="1"/>
  <c r="O166" i="1"/>
  <c r="O169" i="1"/>
  <c r="O175" i="1"/>
  <c r="O179" i="1"/>
  <c r="O167" i="1"/>
  <c r="O174" i="1"/>
  <c r="O178" i="1"/>
  <c r="O177" i="1"/>
  <c r="O170" i="1"/>
  <c r="O63" i="1"/>
  <c r="N63" i="1"/>
  <c r="M63" i="1"/>
  <c r="K15" i="1"/>
  <c r="J15" i="1"/>
  <c r="M15" i="1"/>
  <c r="I15" i="1"/>
  <c r="O15" i="1"/>
  <c r="P15" i="1"/>
  <c r="L15" i="1"/>
  <c r="N15" i="1"/>
  <c r="B108" i="1"/>
  <c r="D108" i="1" s="1"/>
  <c r="L107" i="1"/>
  <c r="M107" i="1"/>
  <c r="K107" i="1"/>
  <c r="P107" i="1"/>
  <c r="O107" i="1"/>
  <c r="N107" i="1"/>
  <c r="B64" i="1"/>
  <c r="D64" i="1" s="1"/>
  <c r="P63" i="1"/>
  <c r="B16" i="1"/>
  <c r="D16" i="1" s="1"/>
  <c r="P175" i="1" l="1"/>
  <c r="P179" i="1"/>
  <c r="P177" i="1"/>
  <c r="P169" i="1"/>
  <c r="P178" i="1"/>
  <c r="P171" i="1"/>
  <c r="P170" i="1"/>
  <c r="P166" i="1"/>
  <c r="P174" i="1"/>
  <c r="P176" i="1"/>
  <c r="P167" i="1"/>
  <c r="P168" i="1"/>
  <c r="M64" i="1"/>
  <c r="N64" i="1"/>
  <c r="O64" i="1"/>
  <c r="B65" i="1"/>
  <c r="D65" i="1" s="1"/>
  <c r="P64" i="1"/>
  <c r="N16" i="1"/>
  <c r="K16" i="1"/>
  <c r="O16" i="1"/>
  <c r="L16" i="1"/>
  <c r="M16" i="1"/>
  <c r="I16" i="1"/>
  <c r="J16" i="1"/>
  <c r="P16" i="1"/>
  <c r="B109" i="1"/>
  <c r="D109" i="1" s="1"/>
  <c r="P108" i="1"/>
  <c r="K108" i="1"/>
  <c r="N108" i="1"/>
  <c r="O108" i="1"/>
  <c r="M108" i="1"/>
  <c r="L108" i="1"/>
  <c r="B17" i="1"/>
  <c r="D17" i="1" s="1"/>
  <c r="N65" i="1" l="1"/>
  <c r="O65" i="1"/>
  <c r="M65" i="1"/>
  <c r="B110" i="1"/>
  <c r="D110" i="1" s="1"/>
  <c r="K109" i="1"/>
  <c r="P109" i="1"/>
  <c r="O109" i="1"/>
  <c r="N109" i="1"/>
  <c r="L109" i="1"/>
  <c r="M109" i="1"/>
  <c r="K17" i="1"/>
  <c r="P17" i="1"/>
  <c r="L17" i="1"/>
  <c r="M17" i="1"/>
  <c r="I17" i="1"/>
  <c r="O17" i="1"/>
  <c r="J17" i="1"/>
  <c r="N17" i="1"/>
  <c r="B66" i="1"/>
  <c r="D66" i="1" s="1"/>
  <c r="P65" i="1"/>
  <c r="B18" i="1"/>
  <c r="D18" i="1" s="1"/>
  <c r="M66" i="1" l="1"/>
  <c r="O66" i="1"/>
  <c r="N66" i="1"/>
  <c r="K18" i="1"/>
  <c r="P18" i="1"/>
  <c r="N18" i="1"/>
  <c r="O18" i="1"/>
  <c r="L18" i="1"/>
  <c r="J18" i="1"/>
  <c r="M18" i="1"/>
  <c r="I18" i="1"/>
  <c r="B67" i="1"/>
  <c r="D67" i="1" s="1"/>
  <c r="P66" i="1"/>
  <c r="B111" i="1"/>
  <c r="D111" i="1" s="1"/>
  <c r="K110" i="1"/>
  <c r="N110" i="1"/>
  <c r="O110" i="1"/>
  <c r="M110" i="1"/>
  <c r="L110" i="1"/>
  <c r="P110" i="1"/>
  <c r="B19" i="1"/>
  <c r="D19" i="1" s="1"/>
  <c r="O67" i="1" l="1"/>
  <c r="N67" i="1"/>
  <c r="M67" i="1"/>
  <c r="B112" i="1"/>
  <c r="D112" i="1" s="1"/>
  <c r="O111" i="1"/>
  <c r="N111" i="1"/>
  <c r="L111" i="1"/>
  <c r="M111" i="1"/>
  <c r="P111" i="1"/>
  <c r="K111" i="1"/>
  <c r="N19" i="1"/>
  <c r="K19" i="1"/>
  <c r="L19" i="1"/>
  <c r="P19" i="1"/>
  <c r="O19" i="1"/>
  <c r="I19" i="1"/>
  <c r="J19" i="1"/>
  <c r="M19" i="1"/>
  <c r="B68" i="1"/>
  <c r="D68" i="1" s="1"/>
  <c r="P67" i="1"/>
  <c r="B20" i="1"/>
  <c r="D20" i="1" s="1"/>
  <c r="O68" i="1" l="1"/>
  <c r="M68" i="1"/>
  <c r="N68" i="1"/>
  <c r="B69" i="1"/>
  <c r="D69" i="1" s="1"/>
  <c r="P68" i="1"/>
  <c r="K20" i="1"/>
  <c r="N20" i="1"/>
  <c r="O20" i="1"/>
  <c r="I20" i="1"/>
  <c r="J20" i="1"/>
  <c r="L20" i="1"/>
  <c r="M20" i="1"/>
  <c r="P20" i="1"/>
  <c r="B113" i="1"/>
  <c r="D113" i="1" s="1"/>
  <c r="N112" i="1"/>
  <c r="O112" i="1"/>
  <c r="M112" i="1"/>
  <c r="L112" i="1"/>
  <c r="P112" i="1"/>
  <c r="K112" i="1"/>
  <c r="B21" i="1"/>
  <c r="D21" i="1" s="1"/>
  <c r="N69" i="1" l="1"/>
  <c r="O69" i="1"/>
  <c r="M69" i="1"/>
  <c r="B114" i="1"/>
  <c r="D114" i="1" s="1"/>
  <c r="L113" i="1"/>
  <c r="M113" i="1"/>
  <c r="K113" i="1"/>
  <c r="P113" i="1"/>
  <c r="O113" i="1"/>
  <c r="N113" i="1"/>
  <c r="N21" i="1"/>
  <c r="K21" i="1"/>
  <c r="O21" i="1"/>
  <c r="L21" i="1"/>
  <c r="J21" i="1"/>
  <c r="I21" i="1"/>
  <c r="M21" i="1"/>
  <c r="P21" i="1"/>
  <c r="B70" i="1"/>
  <c r="D70" i="1" s="1"/>
  <c r="P69" i="1"/>
  <c r="B22" i="1"/>
  <c r="D22" i="1" s="1"/>
  <c r="O70" i="1" l="1"/>
  <c r="N70" i="1"/>
  <c r="M70" i="1"/>
  <c r="B71" i="1"/>
  <c r="D71" i="1" s="1"/>
  <c r="P70" i="1"/>
  <c r="N22" i="1"/>
  <c r="P22" i="1"/>
  <c r="M22" i="1"/>
  <c r="K22" i="1"/>
  <c r="J22" i="1"/>
  <c r="I22" i="1"/>
  <c r="L22" i="1"/>
  <c r="O22" i="1"/>
  <c r="B115" i="1"/>
  <c r="D115" i="1" s="1"/>
  <c r="M114" i="1"/>
  <c r="L114" i="1"/>
  <c r="P114" i="1"/>
  <c r="K114" i="1"/>
  <c r="O114" i="1"/>
  <c r="N114" i="1"/>
  <c r="B23" i="1"/>
  <c r="D23" i="1" s="1"/>
  <c r="N71" i="1" l="1"/>
  <c r="M71" i="1"/>
  <c r="O71" i="1"/>
  <c r="K23" i="1"/>
  <c r="N23" i="1"/>
  <c r="P23" i="1"/>
  <c r="O23" i="1"/>
  <c r="L23" i="1"/>
  <c r="M23" i="1"/>
  <c r="J23" i="1"/>
  <c r="I23" i="1"/>
  <c r="B116" i="1"/>
  <c r="D116" i="1" s="1"/>
  <c r="L115" i="1"/>
  <c r="M115" i="1"/>
  <c r="K115" i="1"/>
  <c r="P115" i="1"/>
  <c r="O115" i="1"/>
  <c r="N115" i="1"/>
  <c r="B72" i="1"/>
  <c r="D72" i="1" s="1"/>
  <c r="P71" i="1"/>
  <c r="B24" i="1"/>
  <c r="D24" i="1" s="1"/>
  <c r="O72" i="1" l="1"/>
  <c r="M72" i="1"/>
  <c r="N72" i="1"/>
  <c r="L24" i="1"/>
  <c r="M24" i="1"/>
  <c r="N24" i="1"/>
  <c r="J24" i="1"/>
  <c r="P24" i="1"/>
  <c r="O24" i="1"/>
  <c r="K24" i="1"/>
  <c r="I24" i="1"/>
  <c r="B73" i="1"/>
  <c r="D73" i="1" s="1"/>
  <c r="P72" i="1"/>
  <c r="B117" i="1"/>
  <c r="D117" i="1" s="1"/>
  <c r="P116" i="1"/>
  <c r="K116" i="1"/>
  <c r="N116" i="1"/>
  <c r="O116" i="1"/>
  <c r="M116" i="1"/>
  <c r="L116" i="1"/>
  <c r="B25" i="1"/>
  <c r="D25" i="1" s="1"/>
  <c r="M73" i="1" l="1"/>
  <c r="N73" i="1"/>
  <c r="O73" i="1"/>
  <c r="K25" i="1"/>
  <c r="N25" i="1"/>
  <c r="I25" i="1"/>
  <c r="P25" i="1"/>
  <c r="O25" i="1"/>
  <c r="L25" i="1"/>
  <c r="J25" i="1"/>
  <c r="M25" i="1"/>
  <c r="B118" i="1"/>
  <c r="D118" i="1" s="1"/>
  <c r="K117" i="1"/>
  <c r="P117" i="1"/>
  <c r="O117" i="1"/>
  <c r="N117" i="1"/>
  <c r="M117" i="1"/>
  <c r="L117" i="1"/>
  <c r="B74" i="1"/>
  <c r="D74" i="1" s="1"/>
  <c r="P73" i="1"/>
  <c r="B26" i="1"/>
  <c r="D26" i="1" s="1"/>
  <c r="O74" i="1" l="1"/>
  <c r="N74" i="1"/>
  <c r="M74" i="1"/>
  <c r="B75" i="1"/>
  <c r="D75" i="1" s="1"/>
  <c r="P74" i="1"/>
  <c r="K26" i="1"/>
  <c r="I26" i="1"/>
  <c r="L26" i="1"/>
  <c r="P26" i="1"/>
  <c r="O26" i="1"/>
  <c r="N26" i="1"/>
  <c r="J26" i="1"/>
  <c r="M26" i="1"/>
  <c r="B119" i="1"/>
  <c r="D119" i="1" s="1"/>
  <c r="K118" i="1"/>
  <c r="N118" i="1"/>
  <c r="O118" i="1"/>
  <c r="M118" i="1"/>
  <c r="L118" i="1"/>
  <c r="P118" i="1"/>
  <c r="B27" i="1"/>
  <c r="D27" i="1" s="1"/>
  <c r="M75" i="1" l="1"/>
  <c r="O75" i="1"/>
  <c r="N75" i="1"/>
  <c r="N27" i="1"/>
  <c r="J27" i="1"/>
  <c r="I27" i="1"/>
  <c r="K27" i="1"/>
  <c r="P27" i="1"/>
  <c r="M27" i="1"/>
  <c r="O27" i="1"/>
  <c r="L27" i="1"/>
  <c r="B120" i="1"/>
  <c r="D120" i="1" s="1"/>
  <c r="O119" i="1"/>
  <c r="N119" i="1"/>
  <c r="L119" i="1"/>
  <c r="M119" i="1"/>
  <c r="P119" i="1"/>
  <c r="K119" i="1"/>
  <c r="B76" i="1"/>
  <c r="D76" i="1" s="1"/>
  <c r="P75" i="1"/>
  <c r="B28" i="1"/>
  <c r="D28" i="1" s="1"/>
  <c r="O76" i="1" l="1"/>
  <c r="M76" i="1"/>
  <c r="N76" i="1"/>
  <c r="B29" i="1"/>
  <c r="D29" i="1" s="1"/>
  <c r="J28" i="1"/>
  <c r="M28" i="1"/>
  <c r="P28" i="1"/>
  <c r="N28" i="1"/>
  <c r="I28" i="1"/>
  <c r="L28" i="1"/>
  <c r="K28" i="1"/>
  <c r="O28" i="1"/>
  <c r="B77" i="1"/>
  <c r="D77" i="1" s="1"/>
  <c r="P76" i="1"/>
  <c r="B121" i="1"/>
  <c r="D121" i="1" s="1"/>
  <c r="N120" i="1"/>
  <c r="O120" i="1"/>
  <c r="M120" i="1"/>
  <c r="L120" i="1"/>
  <c r="P120" i="1"/>
  <c r="K120" i="1"/>
  <c r="N77" i="1" l="1"/>
  <c r="O77" i="1"/>
  <c r="M77" i="1"/>
  <c r="B78" i="1"/>
  <c r="D78" i="1" s="1"/>
  <c r="P77" i="1"/>
  <c r="B122" i="1"/>
  <c r="D122" i="1" s="1"/>
  <c r="L121" i="1"/>
  <c r="M121" i="1"/>
  <c r="K121" i="1"/>
  <c r="P121" i="1"/>
  <c r="O121" i="1"/>
  <c r="N121" i="1"/>
  <c r="B30" i="1"/>
  <c r="D30" i="1" s="1"/>
  <c r="N29" i="1"/>
  <c r="L29" i="1"/>
  <c r="I29" i="1"/>
  <c r="M29" i="1"/>
  <c r="K29" i="1"/>
  <c r="J29" i="1"/>
  <c r="O29" i="1"/>
  <c r="P29" i="1"/>
  <c r="N78" i="1" l="1"/>
  <c r="M78" i="1"/>
  <c r="O78" i="1"/>
  <c r="B123" i="1"/>
  <c r="D123" i="1" s="1"/>
  <c r="M122" i="1"/>
  <c r="L122" i="1"/>
  <c r="P122" i="1"/>
  <c r="K122" i="1"/>
  <c r="N122" i="1"/>
  <c r="O122" i="1"/>
  <c r="B31" i="1"/>
  <c r="D31" i="1" s="1"/>
  <c r="N30" i="1"/>
  <c r="P30" i="1"/>
  <c r="O30" i="1"/>
  <c r="I30" i="1"/>
  <c r="M30" i="1"/>
  <c r="J30" i="1"/>
  <c r="L30" i="1"/>
  <c r="K30" i="1"/>
  <c r="B79" i="1"/>
  <c r="D79" i="1" s="1"/>
  <c r="P78" i="1"/>
  <c r="O79" i="1" l="1"/>
  <c r="N79" i="1"/>
  <c r="M79" i="1"/>
  <c r="B32" i="1"/>
  <c r="D32" i="1" s="1"/>
  <c r="K31" i="1"/>
  <c r="N31" i="1"/>
  <c r="P31" i="1"/>
  <c r="O31" i="1"/>
  <c r="M31" i="1"/>
  <c r="L31" i="1"/>
  <c r="I31" i="1"/>
  <c r="J31" i="1"/>
  <c r="B80" i="1"/>
  <c r="D80" i="1" s="1"/>
  <c r="P79" i="1"/>
  <c r="B124" i="1"/>
  <c r="D124" i="1" s="1"/>
  <c r="L123" i="1"/>
  <c r="M123" i="1"/>
  <c r="K123" i="1"/>
  <c r="P123" i="1"/>
  <c r="O123" i="1"/>
  <c r="N123" i="1"/>
  <c r="M80" i="1" l="1"/>
  <c r="N80" i="1"/>
  <c r="O80" i="1"/>
  <c r="B125" i="1"/>
  <c r="D125" i="1" s="1"/>
  <c r="P124" i="1"/>
  <c r="K124" i="1"/>
  <c r="N124" i="1"/>
  <c r="O124" i="1"/>
  <c r="M124" i="1"/>
  <c r="L124" i="1"/>
  <c r="B81" i="1"/>
  <c r="D81" i="1" s="1"/>
  <c r="P80" i="1"/>
  <c r="B33" i="1"/>
  <c r="D33" i="1" s="1"/>
  <c r="I32" i="1"/>
  <c r="L32" i="1"/>
  <c r="O32" i="1"/>
  <c r="K32" i="1"/>
  <c r="P32" i="1"/>
  <c r="N32" i="1"/>
  <c r="M32" i="1"/>
  <c r="J32" i="1"/>
  <c r="N81" i="1" l="1"/>
  <c r="O81" i="1"/>
  <c r="M81" i="1"/>
  <c r="B82" i="1"/>
  <c r="D82" i="1" s="1"/>
  <c r="B83" i="1" s="1"/>
  <c r="D83" i="1" s="1"/>
  <c r="P81" i="1"/>
  <c r="B34" i="1"/>
  <c r="D34" i="1" s="1"/>
  <c r="K33" i="1"/>
  <c r="J33" i="1"/>
  <c r="O33" i="1"/>
  <c r="P33" i="1"/>
  <c r="N33" i="1"/>
  <c r="I33" i="1"/>
  <c r="M33" i="1"/>
  <c r="L33" i="1"/>
  <c r="B126" i="1"/>
  <c r="D126" i="1" s="1"/>
  <c r="K125" i="1"/>
  <c r="P125" i="1"/>
  <c r="O125" i="1"/>
  <c r="N125" i="1"/>
  <c r="M125" i="1"/>
  <c r="L125" i="1"/>
  <c r="B84" i="1" l="1"/>
  <c r="D84" i="1" s="1"/>
  <c r="P83" i="1"/>
  <c r="O83" i="1"/>
  <c r="M83" i="1"/>
  <c r="N83" i="1"/>
  <c r="K126" i="1"/>
  <c r="B127" i="1"/>
  <c r="D127" i="1" s="1"/>
  <c r="B35" i="1"/>
  <c r="D35" i="1" s="1"/>
  <c r="I34" i="1"/>
  <c r="M82" i="1"/>
  <c r="O82" i="1"/>
  <c r="N82" i="1"/>
  <c r="N126" i="1"/>
  <c r="O126" i="1"/>
  <c r="M126" i="1"/>
  <c r="L126" i="1"/>
  <c r="P126" i="1"/>
  <c r="K34" i="1"/>
  <c r="N34" i="1"/>
  <c r="P34" i="1"/>
  <c r="L34" i="1"/>
  <c r="M34" i="1"/>
  <c r="O34" i="1"/>
  <c r="J34" i="1"/>
  <c r="P82" i="1"/>
  <c r="B85" i="1" l="1"/>
  <c r="D85" i="1" s="1"/>
  <c r="M84" i="1"/>
  <c r="O84" i="1"/>
  <c r="N84" i="1"/>
  <c r="P84" i="1"/>
  <c r="P280" i="1"/>
  <c r="O280" i="1"/>
  <c r="M280" i="1"/>
  <c r="O281" i="1"/>
  <c r="P281" i="1"/>
  <c r="P282" i="1"/>
  <c r="O282" i="1"/>
  <c r="O258" i="1"/>
  <c r="M258" i="1"/>
  <c r="P258" i="1"/>
  <c r="B128" i="1"/>
  <c r="D128" i="1" s="1"/>
  <c r="L127" i="1"/>
  <c r="N127" i="1"/>
  <c r="O127" i="1"/>
  <c r="P127" i="1"/>
  <c r="K127" i="1"/>
  <c r="M127" i="1"/>
  <c r="B36" i="1"/>
  <c r="D36" i="1" s="1"/>
  <c r="K35" i="1"/>
  <c r="N35" i="1"/>
  <c r="L35" i="1"/>
  <c r="I35" i="1"/>
  <c r="M35" i="1"/>
  <c r="O35" i="1"/>
  <c r="P35" i="1"/>
  <c r="J35" i="1"/>
  <c r="I258" i="1"/>
  <c r="L258" i="1"/>
  <c r="H258" i="1"/>
  <c r="K258" i="1"/>
  <c r="G258" i="1"/>
  <c r="J258" i="1"/>
  <c r="I282" i="1"/>
  <c r="M282" i="1"/>
  <c r="J282" i="1"/>
  <c r="L282" i="1"/>
  <c r="K282" i="1"/>
  <c r="H282" i="1"/>
  <c r="J281" i="1"/>
  <c r="K281" i="1"/>
  <c r="H281" i="1"/>
  <c r="L281" i="1"/>
  <c r="I281" i="1"/>
  <c r="M281" i="1"/>
  <c r="G280" i="1"/>
  <c r="K280" i="1"/>
  <c r="H280" i="1"/>
  <c r="L280" i="1"/>
  <c r="J280" i="1"/>
  <c r="I280" i="1"/>
  <c r="G282" i="1"/>
  <c r="G281" i="1"/>
  <c r="B86" i="1" l="1"/>
  <c r="D86" i="1" s="1"/>
  <c r="B87" i="1" s="1"/>
  <c r="D87" i="1" s="1"/>
  <c r="O85" i="1"/>
  <c r="M85" i="1"/>
  <c r="P85" i="1"/>
  <c r="N85" i="1"/>
  <c r="N128" i="1"/>
  <c r="O128" i="1"/>
  <c r="M128" i="1"/>
  <c r="B129" i="1"/>
  <c r="D129" i="1" s="1"/>
  <c r="L128" i="1"/>
  <c r="P128" i="1"/>
  <c r="K128" i="1"/>
  <c r="B37" i="1"/>
  <c r="D37" i="1" s="1"/>
  <c r="P36" i="1"/>
  <c r="K36" i="1"/>
  <c r="M36" i="1"/>
  <c r="L36" i="1"/>
  <c r="N36" i="1"/>
  <c r="O36" i="1"/>
  <c r="I36" i="1"/>
  <c r="J36" i="1"/>
  <c r="B88" i="1" l="1"/>
  <c r="D88" i="1" s="1"/>
  <c r="M87" i="1"/>
  <c r="O87" i="1"/>
  <c r="P87" i="1"/>
  <c r="N87" i="1"/>
  <c r="N86" i="1"/>
  <c r="P86" i="1"/>
  <c r="M86" i="1"/>
  <c r="O86" i="1"/>
  <c r="M129" i="1"/>
  <c r="N129" i="1"/>
  <c r="P129" i="1"/>
  <c r="K129" i="1"/>
  <c r="L129" i="1"/>
  <c r="B130" i="1"/>
  <c r="D130" i="1" s="1"/>
  <c r="B131" i="1" s="1"/>
  <c r="D131" i="1" s="1"/>
  <c r="O129" i="1"/>
  <c r="B38" i="1"/>
  <c r="D38" i="1" s="1"/>
  <c r="B39" i="1" s="1"/>
  <c r="D39" i="1" s="1"/>
  <c r="M37" i="1"/>
  <c r="O37" i="1"/>
  <c r="P37" i="1"/>
  <c r="I37" i="1"/>
  <c r="K37" i="1"/>
  <c r="N37" i="1"/>
  <c r="J37" i="1"/>
  <c r="L37" i="1"/>
  <c r="B40" i="1" l="1"/>
  <c r="D40" i="1" s="1"/>
  <c r="I39" i="1"/>
  <c r="P39" i="1"/>
  <c r="J39" i="1"/>
  <c r="L39" i="1"/>
  <c r="N39" i="1"/>
  <c r="K39" i="1"/>
  <c r="M39" i="1"/>
  <c r="O39" i="1"/>
  <c r="B132" i="1"/>
  <c r="D132" i="1" s="1"/>
  <c r="K131" i="1"/>
  <c r="N131" i="1"/>
  <c r="O131" i="1"/>
  <c r="L131" i="1"/>
  <c r="P131" i="1"/>
  <c r="M131" i="1"/>
  <c r="B89" i="1"/>
  <c r="D89" i="1" s="1"/>
  <c r="O88" i="1"/>
  <c r="M88" i="1"/>
  <c r="P88" i="1"/>
  <c r="N88" i="1"/>
  <c r="K130" i="1"/>
  <c r="P130" i="1"/>
  <c r="M130" i="1"/>
  <c r="N130" i="1"/>
  <c r="O130" i="1"/>
  <c r="L130" i="1"/>
  <c r="M38" i="1"/>
  <c r="J38" i="1"/>
  <c r="K38" i="1"/>
  <c r="I38" i="1"/>
  <c r="N38" i="1"/>
  <c r="P38" i="1"/>
  <c r="L38" i="1"/>
  <c r="O38" i="1"/>
  <c r="B133" i="1" l="1"/>
  <c r="D133" i="1" s="1"/>
  <c r="O132" i="1"/>
  <c r="K132" i="1"/>
  <c r="M132" i="1"/>
  <c r="N132" i="1"/>
  <c r="L132" i="1"/>
  <c r="P132" i="1"/>
  <c r="M89" i="1"/>
  <c r="O89" i="1"/>
  <c r="P89" i="1"/>
  <c r="N89" i="1"/>
  <c r="B41" i="1"/>
  <c r="D41" i="1" s="1"/>
  <c r="N40" i="1"/>
  <c r="O40" i="1"/>
  <c r="L40" i="1"/>
  <c r="P40" i="1"/>
  <c r="I40" i="1"/>
  <c r="J40" i="1"/>
  <c r="K40" i="1"/>
  <c r="M40" i="1"/>
  <c r="P41" i="1" l="1"/>
  <c r="I41" i="1"/>
  <c r="M41" i="1"/>
  <c r="N41" i="1"/>
  <c r="L41" i="1"/>
  <c r="J41" i="1"/>
  <c r="K41" i="1"/>
  <c r="O41" i="1"/>
  <c r="P133" i="1"/>
  <c r="L133" i="1"/>
  <c r="N133" i="1"/>
  <c r="M133" i="1"/>
  <c r="O133" i="1"/>
  <c r="K13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V219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- 6 % für MK Erhöhung von 995 auf 1055 // Stand 19.10.21
- ab 7.3.22 ohne Aufschlag, da neue Preise ab 1.4.22 nach MK</t>
        </r>
      </text>
    </comment>
    <comment ref="V376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- 6 % für MK Erhöhung von 995 auf 1055 // Stand 19.10.21
- ab 7.3.22 ohne Aufschlag, da neue Preise ab 1.4.22 nach MK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P6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+16 % ab 01.01.2022
+20% ab 01.04.2022
+37% ab 15.05.2022
+ 0% ab 27.04.2023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Q4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+38 bis 31.12.2022
+78 bis 30.09.2022
+140 bis 31.10.2022</t>
        </r>
      </text>
    </comment>
    <comment ref="R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Tobias Poetz:</t>
        </r>
        <r>
          <rPr>
            <sz val="9"/>
            <color indexed="81"/>
            <rFont val="Tahoma"/>
            <family val="2"/>
          </rPr>
          <t xml:space="preserve">
EK       MK        Menge
 9,07    870        3 to (Abrufauftrag) - erl. 07.12.2021
10,93   1014,71   1 to (Abrufauftrag) 22.02.22 - 17.05.2022
11,04   1024,71   1 to (Abrufauftrag) 02.06.22 - erl. 16.11.2022
11,13    952        1 to geliefert 26.04.2023</t>
        </r>
      </text>
    </comment>
    <comment ref="Q12" authorId="0" shapeId="0" xr:uid="{00000000-0006-0000-0600-000003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+38 bis 31.12.2022
+78 bis 30.09.2022
+140 bis 31.10.2022</t>
        </r>
      </text>
    </comment>
    <comment ref="Q18" authorId="0" shapeId="0" xr:uid="{00000000-0006-0000-0600-000004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+43 bis 31.12.2022
+83 bis 30.09.2022
+145 bis 31.10.2022</t>
        </r>
      </text>
    </comment>
    <comment ref="Q24" authorId="0" shapeId="0" xr:uid="{00000000-0006-0000-0600-000005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+43 bis 31.12.2022
+105 bis 30.09.2022
+ 175 bis 31.10.2022</t>
        </r>
      </text>
    </comment>
    <comment ref="R61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Tobias Poetz:</t>
        </r>
        <r>
          <rPr>
            <sz val="9"/>
            <color indexed="81"/>
            <rFont val="Tahoma"/>
            <family val="2"/>
          </rPr>
          <t xml:space="preserve">
LME   EK       DATUM   KG
262    3,50   28.09.      744,00 kg
</t>
        </r>
        <r>
          <rPr>
            <b/>
            <sz val="9"/>
            <color indexed="81"/>
            <rFont val="Tahoma"/>
            <family val="2"/>
          </rPr>
          <t>281   3,69    10.11.    2000,00 kg Kontrakt geschlossen !</t>
        </r>
        <r>
          <rPr>
            <sz val="9"/>
            <color indexed="81"/>
            <rFont val="Tahoma"/>
            <family val="2"/>
          </rPr>
          <t xml:space="preserve">
281    3,69    07.12.    -540,50 kg Abruf
281    3,69    09.03.    -1460,0 kg Abruf
</t>
        </r>
        <r>
          <rPr>
            <b/>
            <sz val="9"/>
            <color indexed="81"/>
            <rFont val="Tahoma"/>
            <family val="2"/>
          </rPr>
          <t xml:space="preserve">394    5,07    04.04.    1874,40 kg Kontrakt geschlossen !
</t>
        </r>
        <r>
          <rPr>
            <sz val="9"/>
            <color indexed="81"/>
            <rFont val="Tahoma"/>
            <family val="2"/>
          </rPr>
          <t xml:space="preserve">394    5,07     05.04.    -1874,40 kg Abruf
</t>
        </r>
      </text>
    </comment>
    <comment ref="Q62" authorId="0" shapeId="0" xr:uid="{00000000-0006-0000-0600-000007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+88 bis 1.1.22
+113 bis 30.09.2022</t>
        </r>
      </text>
    </comment>
    <comment ref="Q68" authorId="0" shapeId="0" xr:uid="{00000000-0006-0000-0600-000008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+88 bis 1.2.22
+113 bis 30.09.2022</t>
        </r>
      </text>
    </comment>
    <comment ref="Q74" authorId="0" shapeId="0" xr:uid="{00000000-0006-0000-0600-000009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+95 bis 1.2.22
+133 bis 30.09.2022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Tobias Poetz</author>
  </authors>
  <commentList>
    <comment ref="M78" authorId="0" shapeId="0" xr:uid="{00000000-0006-0000-0700-000001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09/2021: EK 12,17 MK - 901
04/2022: EK 14,89 MK -1126
06/2022: EK 15,63 MK -1126</t>
        </r>
      </text>
    </comment>
    <comment ref="M84" authorId="0" shapeId="0" xr:uid="{00000000-0006-0000-0700-000002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09/2021: EK 6,12 MK - 926
04/2022: EK 7,45 MK - 1126
06/2022: EK 7,83 MK - 1126</t>
        </r>
      </text>
    </comment>
    <comment ref="O90" authorId="0" shapeId="0" xr:uid="{00000000-0006-0000-0700-000003000000}">
      <text>
        <r>
          <rPr>
            <b/>
            <sz val="9"/>
            <color indexed="81"/>
            <rFont val="Segoe UI"/>
            <family val="2"/>
          </rPr>
          <t>Tobias Poetz:</t>
        </r>
        <r>
          <rPr>
            <sz val="9"/>
            <color indexed="81"/>
            <rFont val="Segoe UI"/>
            <family val="2"/>
          </rPr>
          <t xml:space="preserve">
TZ 6%  für MK 995-1055
TZ 11% für MK 1055-1150</t>
        </r>
      </text>
    </comment>
  </commentList>
</comments>
</file>

<file path=xl/sharedStrings.xml><?xml version="1.0" encoding="utf-8"?>
<sst xmlns="http://schemas.openxmlformats.org/spreadsheetml/2006/main" count="3721" uniqueCount="878">
  <si>
    <t>Größe</t>
  </si>
  <si>
    <t>33er</t>
  </si>
  <si>
    <t>25er</t>
  </si>
  <si>
    <t>40er</t>
  </si>
  <si>
    <t>Länge: 5000 mm</t>
  </si>
  <si>
    <t>Stärke mm</t>
  </si>
  <si>
    <t xml:space="preserve">Kupferdachrinnen </t>
  </si>
  <si>
    <t xml:space="preserve">Kupferkastendachrinnen </t>
  </si>
  <si>
    <t>Länge: 2000 mm</t>
  </si>
  <si>
    <t xml:space="preserve">Kupfer-Kastenrinnenwinkel 90° </t>
  </si>
  <si>
    <t>Kupferrinnenboden universal</t>
  </si>
  <si>
    <t>Kupfer-Kastenrinnenboden universal</t>
  </si>
  <si>
    <t>25er gr. W</t>
  </si>
  <si>
    <t>33er gr. W</t>
  </si>
  <si>
    <t>40er gr. W</t>
  </si>
  <si>
    <t>25er - 0,6</t>
  </si>
  <si>
    <t>33er - 0,6</t>
  </si>
  <si>
    <t>40er - 0,6</t>
  </si>
  <si>
    <t>25-25/6</t>
  </si>
  <si>
    <t>33-25/6</t>
  </si>
  <si>
    <t>33-25/7</t>
  </si>
  <si>
    <t>-</t>
  </si>
  <si>
    <t>MK Staffelaufschlag</t>
  </si>
  <si>
    <t>MK Aufschlag</t>
  </si>
  <si>
    <t>Dachrinnen</t>
  </si>
  <si>
    <t>Fallrohre</t>
  </si>
  <si>
    <t>bis</t>
  </si>
  <si>
    <t xml:space="preserve">Art.-Nr. </t>
  </si>
  <si>
    <t>€/Meter bei MK-Notiz</t>
  </si>
  <si>
    <t>€/Stück bei MK-Notiz</t>
  </si>
  <si>
    <t>Rabatt</t>
  </si>
  <si>
    <t>Kalk.-Aufschlag</t>
  </si>
  <si>
    <t>20er gr. W</t>
  </si>
  <si>
    <t>28er gr. W</t>
  </si>
  <si>
    <t>33er      kl. W</t>
  </si>
  <si>
    <t>40er      kl. W</t>
  </si>
  <si>
    <t>28er</t>
  </si>
  <si>
    <t>33-25/8</t>
  </si>
  <si>
    <t>28-25/6</t>
  </si>
  <si>
    <t>Aufschlag</t>
  </si>
  <si>
    <t>TZ</t>
  </si>
  <si>
    <t>Rinnenhaken</t>
  </si>
  <si>
    <t>28er - 0,6</t>
  </si>
  <si>
    <t>25/60</t>
  </si>
  <si>
    <t>25/80</t>
  </si>
  <si>
    <t>33/100</t>
  </si>
  <si>
    <t>40/120</t>
  </si>
  <si>
    <t>28/80</t>
  </si>
  <si>
    <t xml:space="preserve">Rinnenzubehör, Bögen, </t>
  </si>
  <si>
    <t>100 - 40°</t>
  </si>
  <si>
    <t xml:space="preserve">  60 - 40°</t>
  </si>
  <si>
    <t xml:space="preserve">  80 - 40°</t>
  </si>
  <si>
    <t>120 - 40°</t>
  </si>
  <si>
    <t xml:space="preserve">  60 - 72°</t>
  </si>
  <si>
    <t xml:space="preserve">  80 - 72°</t>
  </si>
  <si>
    <t>100 - 72°</t>
  </si>
  <si>
    <t>120 - 72°</t>
  </si>
  <si>
    <t xml:space="preserve">  60 - 85°</t>
  </si>
  <si>
    <t xml:space="preserve">  80 - 85°</t>
  </si>
  <si>
    <t>100 - 85°</t>
  </si>
  <si>
    <t>120 - 85°</t>
  </si>
  <si>
    <t xml:space="preserve">   80/  80</t>
  </si>
  <si>
    <t>100/   80</t>
  </si>
  <si>
    <t>100/100</t>
  </si>
  <si>
    <t>120/100</t>
  </si>
  <si>
    <t xml:space="preserve">   80/  60</t>
  </si>
  <si>
    <t>100/  60</t>
  </si>
  <si>
    <t>100/150</t>
  </si>
  <si>
    <t xml:space="preserve">   80/115</t>
  </si>
  <si>
    <t>120/150</t>
  </si>
  <si>
    <t>Art.-Nr.</t>
  </si>
  <si>
    <t xml:space="preserve">Titanzink Dachrinnen </t>
  </si>
  <si>
    <t xml:space="preserve">Titanzink Kastendachrinnen </t>
  </si>
  <si>
    <t xml:space="preserve">Titanzink Kastenrinnenwinkel 90° </t>
  </si>
  <si>
    <t>Titanzink Rinnenboden universal</t>
  </si>
  <si>
    <t>Titanzink Kastenrinnenboden universal</t>
  </si>
  <si>
    <t>20er</t>
  </si>
  <si>
    <t>€/Stück</t>
  </si>
  <si>
    <t>€/Meter bei LME-Notiz</t>
  </si>
  <si>
    <t>25-25/5</t>
  </si>
  <si>
    <t>langer Zuschnitt</t>
  </si>
  <si>
    <t>Münchner Ausführung m. langer Feder</t>
  </si>
  <si>
    <t>40-25/8</t>
  </si>
  <si>
    <t>33/80</t>
  </si>
  <si>
    <t>€/Stück bei LME-Notiz</t>
  </si>
  <si>
    <t>€/Meter</t>
  </si>
  <si>
    <t>Zuschnitt</t>
  </si>
  <si>
    <t>Materialstärke</t>
  </si>
  <si>
    <t>gr. Wulst</t>
  </si>
  <si>
    <t>kl. Wulst</t>
  </si>
  <si>
    <t>EK</t>
  </si>
  <si>
    <t>Uginox Rinnenboden universal</t>
  </si>
  <si>
    <t>Uginox-Kastenrinnenboden universal</t>
  </si>
  <si>
    <t xml:space="preserve">Kupferrinnenwinkel 90° </t>
  </si>
  <si>
    <t>28er aussen - tiefgezogn - 500 mm</t>
  </si>
  <si>
    <t>Spezf.</t>
  </si>
  <si>
    <t xml:space="preserve">Uginox-umm. Rinnenhaken </t>
  </si>
  <si>
    <t xml:space="preserve"> </t>
  </si>
  <si>
    <t>Faktor zur LME</t>
  </si>
  <si>
    <t>EK (245)</t>
  </si>
  <si>
    <t>28-25/7</t>
  </si>
  <si>
    <t>EK (960)</t>
  </si>
  <si>
    <t>50/5</t>
  </si>
  <si>
    <t>Faktor zur MK</t>
  </si>
  <si>
    <t>Kupfer Reduzierung</t>
  </si>
  <si>
    <t>100/  80</t>
  </si>
  <si>
    <t>Kupfer Steckmuffe (Rohrverbinder)</t>
  </si>
  <si>
    <t>Titanzink Reduzierung</t>
  </si>
  <si>
    <t>Titanzink Steckmuffe (Rohrverbinder)</t>
  </si>
  <si>
    <t>Edelstahl A2 Stockschraube M10</t>
  </si>
  <si>
    <t>Länge</t>
  </si>
  <si>
    <t>100 mm</t>
  </si>
  <si>
    <t>mit Schlüsselfläche</t>
  </si>
  <si>
    <t>140 mm</t>
  </si>
  <si>
    <t>200 mm</t>
  </si>
  <si>
    <t>250 mm</t>
  </si>
  <si>
    <t>290 mm</t>
  </si>
  <si>
    <t>Kupfer Band</t>
  </si>
  <si>
    <t>50/6</t>
  </si>
  <si>
    <t>für 1" Rohr</t>
  </si>
  <si>
    <t>ALU</t>
  </si>
  <si>
    <t>Schneefang Aufstockelement für Lasche 1" Rohr</t>
  </si>
  <si>
    <t>80 mm</t>
  </si>
  <si>
    <t xml:space="preserve">Verzinkter Rinnenhaken </t>
  </si>
  <si>
    <t>verzinkt</t>
  </si>
  <si>
    <t>Höhe</t>
  </si>
  <si>
    <t>17/2,5</t>
  </si>
  <si>
    <t>dunkelbraun</t>
  </si>
  <si>
    <t>Länge: 3000 mm</t>
  </si>
  <si>
    <t>anthrazit</t>
  </si>
  <si>
    <t>ziegelrot</t>
  </si>
  <si>
    <t>für</t>
  </si>
  <si>
    <t>BIBER</t>
  </si>
  <si>
    <t>E58/S</t>
  </si>
  <si>
    <t>Frankf. Pf.</t>
  </si>
  <si>
    <t>HDS</t>
  </si>
  <si>
    <t xml:space="preserve">Schneefanghalter "Click17" PB </t>
  </si>
  <si>
    <t>Farbe</t>
  </si>
  <si>
    <t>Model</t>
  </si>
  <si>
    <t xml:space="preserve">Rundholzhalter "Click17" PB </t>
  </si>
  <si>
    <t xml:space="preserve">Rohrholzhalter für 2-Rohre 1 Zoll "Click17" PB </t>
  </si>
  <si>
    <t>zum Einhängen</t>
  </si>
  <si>
    <t>(passendes 1 Zoll-Rohr  s. Zubehör)</t>
  </si>
  <si>
    <t xml:space="preserve">30 mm </t>
  </si>
  <si>
    <t>Kröpfung</t>
  </si>
  <si>
    <t>PFANNE</t>
  </si>
  <si>
    <t>45 mm</t>
  </si>
  <si>
    <t>Breite</t>
  </si>
  <si>
    <t>800 mm</t>
  </si>
  <si>
    <t>3000 mm</t>
  </si>
  <si>
    <t>Edelstahl</t>
  </si>
  <si>
    <t>1 Beutel für 2 Stützen</t>
  </si>
  <si>
    <t>1 Beutel für 1 Verb.</t>
  </si>
  <si>
    <t>Masse</t>
  </si>
  <si>
    <t>42x52 cm</t>
  </si>
  <si>
    <t>4 Stck./Beutel</t>
  </si>
  <si>
    <t xml:space="preserve">  80/  60</t>
  </si>
  <si>
    <t>120/120</t>
  </si>
  <si>
    <t>hellgrau</t>
  </si>
  <si>
    <t>RAL</t>
  </si>
  <si>
    <t>7005 (ähnlich)</t>
  </si>
  <si>
    <t>Listenp.</t>
  </si>
  <si>
    <t>33-28/7</t>
  </si>
  <si>
    <t>33-30/5</t>
  </si>
  <si>
    <t>Marteial</t>
  </si>
  <si>
    <t>Material</t>
  </si>
  <si>
    <t>VERZINKT</t>
  </si>
  <si>
    <t>GRÖMO ALUSTAR Steckrinnenboden - TX</t>
  </si>
  <si>
    <t>33er innen</t>
  </si>
  <si>
    <t xml:space="preserve">33er aussen </t>
  </si>
  <si>
    <t>LINKS</t>
  </si>
  <si>
    <t>RECHTS</t>
  </si>
  <si>
    <t>GRÖMO ALUSTAR Sockelknie - TX</t>
  </si>
  <si>
    <t>100  - 40°</t>
  </si>
  <si>
    <t xml:space="preserve">   80 - 40°</t>
  </si>
  <si>
    <t xml:space="preserve">   80 - 72°</t>
  </si>
  <si>
    <t xml:space="preserve">   80 - 85°</t>
  </si>
  <si>
    <t>100/80</t>
  </si>
  <si>
    <t xml:space="preserve">GRÖMO ALUSTAR Rohrabzweig 72° - TX </t>
  </si>
  <si>
    <t>GRÖMO ALUSTAR Standrohrkappe - TX</t>
  </si>
  <si>
    <t xml:space="preserve">  80/116</t>
  </si>
  <si>
    <t>100/116</t>
  </si>
  <si>
    <t>GRÖMO ALUSTAR Steckmuffe (Rohrverbinder) - TX</t>
  </si>
  <si>
    <t xml:space="preserve">   80/116</t>
  </si>
  <si>
    <t>ohne Fase, ohne Einzug</t>
  </si>
  <si>
    <t>1000 mm</t>
  </si>
  <si>
    <t>400 mm</t>
  </si>
  <si>
    <t>1500 mm</t>
  </si>
  <si>
    <t>BIBER/SCHIEFER</t>
  </si>
  <si>
    <t>PFANNE/UNIVERAL</t>
  </si>
  <si>
    <t>€/kg</t>
  </si>
  <si>
    <t>Stärke</t>
  </si>
  <si>
    <t xml:space="preserve">auf Anfrage ! </t>
  </si>
  <si>
    <t>Kupfer Tafelblech</t>
  </si>
  <si>
    <t>Abmessung</t>
  </si>
  <si>
    <t>mm</t>
  </si>
  <si>
    <t>x 2000 mm</t>
  </si>
  <si>
    <t>€/Tafel</t>
  </si>
  <si>
    <t>x 2500 mm</t>
  </si>
  <si>
    <t>RAL 7016 anthrazit</t>
  </si>
  <si>
    <t>Verz. Tafelblech</t>
  </si>
  <si>
    <t xml:space="preserve">Titanzink Band </t>
  </si>
  <si>
    <t xml:space="preserve">Rolle </t>
  </si>
  <si>
    <t>Gewichtsliste:</t>
  </si>
  <si>
    <t>Bleche (Gewicht / Tfl.)</t>
  </si>
  <si>
    <t>Kupferbleche</t>
  </si>
  <si>
    <t>Stärke (mm)</t>
  </si>
  <si>
    <t>0,60 / 0,63</t>
  </si>
  <si>
    <t>0,70 / 0,75</t>
  </si>
  <si>
    <t>0,80 / 0,88</t>
  </si>
  <si>
    <t>1000 x 2000 mm</t>
  </si>
  <si>
    <t>Verzinkt</t>
  </si>
  <si>
    <t>1000 x 3000 mm</t>
  </si>
  <si>
    <t>1250 x 2500 mm</t>
  </si>
  <si>
    <t>1500 x 3000 mm</t>
  </si>
  <si>
    <t>Titanzinkbleche</t>
  </si>
  <si>
    <t>Aluminiumbleche</t>
  </si>
  <si>
    <t>Edelstahlbleche</t>
  </si>
  <si>
    <t>Uginoxbleche</t>
  </si>
  <si>
    <t>verz. Bleche beschichtet</t>
  </si>
  <si>
    <t>Warzenbleche (Gewicht / Tfl.)</t>
  </si>
  <si>
    <t>Alu Duett Warzenblech</t>
  </si>
  <si>
    <t>1,5/2,5</t>
  </si>
  <si>
    <t>2,5/4,0</t>
  </si>
  <si>
    <t>Aluminium beidseitig besch.</t>
  </si>
  <si>
    <t>Kupfer</t>
  </si>
  <si>
    <t>32,00 mtr.</t>
  </si>
  <si>
    <t>125 mm</t>
  </si>
  <si>
    <t>550 mm</t>
  </si>
  <si>
    <t>150 mm</t>
  </si>
  <si>
    <t>166 mm</t>
  </si>
  <si>
    <t>280 mm</t>
  </si>
  <si>
    <t>285 mm</t>
  </si>
  <si>
    <t>300 mm</t>
  </si>
  <si>
    <t>333 mm</t>
  </si>
  <si>
    <t>350 mm</t>
  </si>
  <si>
    <t>450 mm</t>
  </si>
  <si>
    <t>500 mm</t>
  </si>
  <si>
    <t>600 mm</t>
  </si>
  <si>
    <t>670 mm</t>
  </si>
  <si>
    <t>700 mm</t>
  </si>
  <si>
    <t>750 mm</t>
  </si>
  <si>
    <t>1200 mm</t>
  </si>
  <si>
    <t>20,00 mtr.</t>
  </si>
  <si>
    <t>24,00 mtr.</t>
  </si>
  <si>
    <t>31,00 mtr.</t>
  </si>
  <si>
    <t>Rollengewicht (kg)</t>
  </si>
  <si>
    <t>Bänder (Gewicht / Rll.)</t>
  </si>
  <si>
    <t>Titanzink</t>
  </si>
  <si>
    <t>1250 mm</t>
  </si>
  <si>
    <t>30,00 mtr.</t>
  </si>
  <si>
    <t>verzinkt beschichtet</t>
  </si>
  <si>
    <t>Uginox</t>
  </si>
  <si>
    <t>580 mm</t>
  </si>
  <si>
    <t>1160 mm</t>
  </si>
  <si>
    <t>36,00 mtr.</t>
  </si>
  <si>
    <t>Ugitop</t>
  </si>
  <si>
    <t>Aluminium</t>
  </si>
  <si>
    <t>50,00 mtr.</t>
  </si>
  <si>
    <t>42,00 mtr.</t>
  </si>
  <si>
    <t>-0003</t>
  </si>
  <si>
    <t>-0001</t>
  </si>
  <si>
    <t>-0002</t>
  </si>
  <si>
    <t>-0004</t>
  </si>
  <si>
    <t>-0005</t>
  </si>
  <si>
    <t>901001</t>
  </si>
  <si>
    <t>-0007</t>
  </si>
  <si>
    <t>-0006</t>
  </si>
  <si>
    <t>-0008</t>
  </si>
  <si>
    <t>901005</t>
  </si>
  <si>
    <t xml:space="preserve">Kiesfangleise </t>
  </si>
  <si>
    <t>35 mm</t>
  </si>
  <si>
    <t>Testa di Moro</t>
  </si>
  <si>
    <t>weiß</t>
  </si>
  <si>
    <t>Aluminium DUO Riffelblech</t>
  </si>
  <si>
    <t>1,5/2,0</t>
  </si>
  <si>
    <t>Ø</t>
  </si>
  <si>
    <t>11 mm</t>
  </si>
  <si>
    <t>Rinne</t>
  </si>
  <si>
    <t>33er kl. Wulst</t>
  </si>
  <si>
    <t>40er kl. Wulst</t>
  </si>
  <si>
    <t xml:space="preserve">   9 mm</t>
  </si>
  <si>
    <t>€/m²</t>
  </si>
  <si>
    <t>Bund á 25 kg</t>
  </si>
  <si>
    <t xml:space="preserve">Lötgel Allround </t>
  </si>
  <si>
    <t>Lötemulsion zum Weichlöten aller walzblanken Materialien. NICHT für Aluminium geeignet</t>
  </si>
  <si>
    <t>Dose á 500 gr.</t>
  </si>
  <si>
    <t>€/Dose</t>
  </si>
  <si>
    <t>1250 x 2000</t>
  </si>
  <si>
    <t xml:space="preserve">Edelstahl </t>
  </si>
  <si>
    <t>MK Not.</t>
  </si>
  <si>
    <t>EK Aufsch.</t>
  </si>
  <si>
    <t>VK Aufsch.</t>
  </si>
  <si>
    <t>VK/kg</t>
  </si>
  <si>
    <t>EK/kg</t>
  </si>
  <si>
    <t>kg</t>
  </si>
  <si>
    <t>LME Not.</t>
  </si>
  <si>
    <t>32 mtr.</t>
  </si>
  <si>
    <t>24 mtr.</t>
  </si>
  <si>
    <t>ca. Gewicht/Tfl.</t>
  </si>
  <si>
    <t>ca. Gewicht/Rll.</t>
  </si>
  <si>
    <t>25 mm</t>
  </si>
  <si>
    <t>32 mm</t>
  </si>
  <si>
    <t>€/%Stück</t>
  </si>
  <si>
    <t>VPE</t>
  </si>
  <si>
    <t>500 Stck.</t>
  </si>
  <si>
    <t>5,5 x 80 mm</t>
  </si>
  <si>
    <t>5,5 x 100 mm</t>
  </si>
  <si>
    <t>€/%Kg</t>
  </si>
  <si>
    <t>2,8 x 25 mm</t>
  </si>
  <si>
    <t>€/Pak</t>
  </si>
  <si>
    <t>1000 Nägel + Gas</t>
  </si>
  <si>
    <t>55 mm</t>
  </si>
  <si>
    <t>1200 Coil-Nägel</t>
  </si>
  <si>
    <t>V2A</t>
  </si>
  <si>
    <t>Spenglerschraube Torx m. Dichtscheibe</t>
  </si>
  <si>
    <t>4,5 x 25 mm / 15 mm Dichtscheibe</t>
  </si>
  <si>
    <t>4,5 x 45 mm / 15 mm Dichtscheibe</t>
  </si>
  <si>
    <t xml:space="preserve">  Material</t>
  </si>
  <si>
    <t xml:space="preserve">  KUPFER</t>
  </si>
  <si>
    <t xml:space="preserve">  ALU</t>
  </si>
  <si>
    <t>Gebinde</t>
  </si>
  <si>
    <t>Verarbeitungszeit</t>
  </si>
  <si>
    <t>ca. 30 min.</t>
  </si>
  <si>
    <t>Verarbeitungstemp.</t>
  </si>
  <si>
    <t>+ 5° bis + 50 ° C</t>
  </si>
  <si>
    <t xml:space="preserve"> Farbe</t>
  </si>
  <si>
    <t xml:space="preserve"> schwarz</t>
  </si>
  <si>
    <t>10 kg</t>
  </si>
  <si>
    <t>REES Edelstahl Hosenhafte Nr. 3</t>
  </si>
  <si>
    <t>250 Stck.</t>
  </si>
  <si>
    <t>Gewicht</t>
  </si>
  <si>
    <t>Kombi Blechschere</t>
  </si>
  <si>
    <t>rechts</t>
  </si>
  <si>
    <t>Version</t>
  </si>
  <si>
    <t>Ausführung</t>
  </si>
  <si>
    <t>links</t>
  </si>
  <si>
    <t>Lochschere</t>
  </si>
  <si>
    <t>600 g</t>
  </si>
  <si>
    <t>Falzaufbiegezange</t>
  </si>
  <si>
    <t>PVC eingel.</t>
  </si>
  <si>
    <t>Flachzange</t>
  </si>
  <si>
    <t>240 mm</t>
  </si>
  <si>
    <t>360 G</t>
  </si>
  <si>
    <t>o. Zahnung</t>
  </si>
  <si>
    <t>Rundzange</t>
  </si>
  <si>
    <t>320 g</t>
  </si>
  <si>
    <t>18 mm</t>
  </si>
  <si>
    <t>60 mm</t>
  </si>
  <si>
    <t>480 g</t>
  </si>
  <si>
    <t>40 mm</t>
  </si>
  <si>
    <t>550 g</t>
  </si>
  <si>
    <t>580 g</t>
  </si>
  <si>
    <t>960 g</t>
  </si>
  <si>
    <t>gerade</t>
  </si>
  <si>
    <t>45°</t>
  </si>
  <si>
    <t xml:space="preserve">Falzzange </t>
  </si>
  <si>
    <t>50 mm</t>
  </si>
  <si>
    <t>90°</t>
  </si>
  <si>
    <t>660 g</t>
  </si>
  <si>
    <t>Quetschfalzzange</t>
  </si>
  <si>
    <t>850 g</t>
  </si>
  <si>
    <t>Falzzange -leicht-</t>
  </si>
  <si>
    <t>24/180 mm</t>
  </si>
  <si>
    <t>180 g</t>
  </si>
  <si>
    <t>36 mm</t>
  </si>
  <si>
    <t>20/180 mm</t>
  </si>
  <si>
    <t>Dachrinnenzange</t>
  </si>
  <si>
    <t>15 mm</t>
  </si>
  <si>
    <t>950 g</t>
  </si>
  <si>
    <t>160 mm</t>
  </si>
  <si>
    <t>180 mm</t>
  </si>
  <si>
    <t>2600 g</t>
  </si>
  <si>
    <t>Schaleisen</t>
  </si>
  <si>
    <t>120 mm</t>
  </si>
  <si>
    <t>2000 g</t>
  </si>
  <si>
    <t>2300 g</t>
  </si>
  <si>
    <t>vulkanisiert</t>
  </si>
  <si>
    <t>2500 g</t>
  </si>
  <si>
    <t>Traufenschließer</t>
  </si>
  <si>
    <t>2276 g</t>
  </si>
  <si>
    <t>130 g</t>
  </si>
  <si>
    <t>860 g</t>
  </si>
  <si>
    <t>Kunststoffköpfe</t>
  </si>
  <si>
    <t>400 g</t>
  </si>
  <si>
    <t>500 g</t>
  </si>
  <si>
    <t>140 x 100 mm</t>
  </si>
  <si>
    <t>60 g</t>
  </si>
  <si>
    <t>1,3 mm</t>
  </si>
  <si>
    <t>Bogenzirkel</t>
  </si>
  <si>
    <t>Reißnadel</t>
  </si>
  <si>
    <t>Vorschlagahle</t>
  </si>
  <si>
    <t>rund</t>
  </si>
  <si>
    <t>115 mm</t>
  </si>
  <si>
    <t>80 g</t>
  </si>
  <si>
    <t>50 g</t>
  </si>
  <si>
    <t>orange</t>
  </si>
  <si>
    <t>75 m</t>
  </si>
  <si>
    <t>gelb</t>
  </si>
  <si>
    <t>blau</t>
  </si>
  <si>
    <t>Inhalt</t>
  </si>
  <si>
    <t>100 ml</t>
  </si>
  <si>
    <t>90 g</t>
  </si>
  <si>
    <t>Restrollenklammer</t>
  </si>
  <si>
    <t>110 x 140 mm</t>
  </si>
  <si>
    <t>160 g</t>
  </si>
  <si>
    <t>Kunststoffhammer</t>
  </si>
  <si>
    <t>eckig</t>
  </si>
  <si>
    <t>155x85x35 mm</t>
  </si>
  <si>
    <t>554 g</t>
  </si>
  <si>
    <t>620 g</t>
  </si>
  <si>
    <t>Falzdichtband</t>
  </si>
  <si>
    <t>Rolle á 10 mtr.</t>
  </si>
  <si>
    <t>Falzöl</t>
  </si>
  <si>
    <t xml:space="preserve">Fallrohrprovisorium </t>
  </si>
  <si>
    <t>DN 60-120</t>
  </si>
  <si>
    <t>Rolle</t>
  </si>
  <si>
    <t>100 mtr.</t>
  </si>
  <si>
    <t>1000 ml</t>
  </si>
  <si>
    <t>lackiert</t>
  </si>
  <si>
    <t>Kupfer Entwässerung</t>
  </si>
  <si>
    <t>Dachrinne</t>
  </si>
  <si>
    <t>LP</t>
  </si>
  <si>
    <t>keilform</t>
  </si>
  <si>
    <t>Rinnenboden (Vorkopf)</t>
  </si>
  <si>
    <t>Einhangstutzen</t>
  </si>
  <si>
    <t>Ablaufrohre</t>
  </si>
  <si>
    <t xml:space="preserve">Rinnendilla </t>
  </si>
  <si>
    <t>Wasserfangkasten</t>
  </si>
  <si>
    <t>Fallrohrabzweig 72°</t>
  </si>
  <si>
    <t>Ablaufrohrschelle M8/10</t>
  </si>
  <si>
    <t>Regenwasserklappe m. Sieb</t>
  </si>
  <si>
    <t>Rolafix-Mini Laubfangvorrichtung</t>
  </si>
  <si>
    <t>Wassersammler incl. Schlauchset</t>
  </si>
  <si>
    <t>Standrohrkappe flach</t>
  </si>
  <si>
    <t>Reduzierung</t>
  </si>
  <si>
    <t>Steckmuffe (Rohrverbinder)</t>
  </si>
  <si>
    <t>Zink Entwässerung</t>
  </si>
  <si>
    <t>Rinnendilla</t>
  </si>
  <si>
    <t>Rinnenwinkel 90°</t>
  </si>
  <si>
    <t>Rolafix-Mini Lauffangvorrichtung</t>
  </si>
  <si>
    <t>Fehlendes Sortiment</t>
  </si>
  <si>
    <t>Kunde</t>
  </si>
  <si>
    <t>Datum</t>
  </si>
  <si>
    <t>25er Zink Kastenrinne</t>
  </si>
  <si>
    <t>Neumann + Schmidt</t>
  </si>
  <si>
    <t>Uginox Entwässerung</t>
  </si>
  <si>
    <t>Verzinkt Entwässerung</t>
  </si>
  <si>
    <t>Ablaufrohrschelle</t>
  </si>
  <si>
    <t>ALUSTAR Entwässerung</t>
  </si>
  <si>
    <t>Ablaufrohrbogen</t>
  </si>
  <si>
    <t>Bänder - Tafeln</t>
  </si>
  <si>
    <t>KUPFER Lochblech 5/7</t>
  </si>
  <si>
    <t>UGINOX Lochblech 5/7</t>
  </si>
  <si>
    <t>UGITOP 1.4301 (304) Bänder</t>
  </si>
  <si>
    <t xml:space="preserve">ALU blank Bänder - Tafeln </t>
  </si>
  <si>
    <t>ALU blank Lochblech 5/7</t>
  </si>
  <si>
    <t>ALU blank Riffelblech DUO</t>
  </si>
  <si>
    <t>ALU besch. Bänder - Tafeln</t>
  </si>
  <si>
    <t>VZ besch. Bänder - Tafeln</t>
  </si>
  <si>
    <t>Zubehör Blechdach</t>
  </si>
  <si>
    <t>Stockschrauben</t>
  </si>
  <si>
    <t>Spenglerschrauben</t>
  </si>
  <si>
    <t>Schneefangrohr Eishalter</t>
  </si>
  <si>
    <t>Schneefanglaschen</t>
  </si>
  <si>
    <t>Rundedelstahl</t>
  </si>
  <si>
    <t>Rinnenhakennägel</t>
  </si>
  <si>
    <t>Paslode Nägel</t>
  </si>
  <si>
    <t>Montageplatte für Rohrschelle M8/10</t>
  </si>
  <si>
    <t>Blechkleber</t>
  </si>
  <si>
    <t>Lötzinn</t>
  </si>
  <si>
    <t>Laubsieb</t>
  </si>
  <si>
    <t>Kiesfangleisten</t>
  </si>
  <si>
    <t>Haften</t>
  </si>
  <si>
    <t>Fallrohrprovisorium</t>
  </si>
  <si>
    <t>Dübel</t>
  </si>
  <si>
    <t>Deckstifte</t>
  </si>
  <si>
    <t>Bedachungsartikel</t>
  </si>
  <si>
    <t>Laufstehhalter Click 17</t>
  </si>
  <si>
    <t>Metalldachfenster</t>
  </si>
  <si>
    <t>Metalldachplatte Click 17</t>
  </si>
  <si>
    <t>Rohrhalter für 2x1" Click 17</t>
  </si>
  <si>
    <t>Laufrost</t>
  </si>
  <si>
    <t>Rundholzhalter Click 17</t>
  </si>
  <si>
    <t>Schneefanggitter</t>
  </si>
  <si>
    <t>Schneefanghalter Click 17</t>
  </si>
  <si>
    <t>Schneefanghalter Easy (Universal)</t>
  </si>
  <si>
    <t>Sicherheitsdachhaken</t>
  </si>
  <si>
    <t>Spenglerwerkzeug</t>
  </si>
  <si>
    <t>Anreißschablone</t>
  </si>
  <si>
    <t>Deckzange</t>
  </si>
  <si>
    <t>Falzzange</t>
  </si>
  <si>
    <t>Hämmer</t>
  </si>
  <si>
    <t>Lötwasserfläschchen - gelb u. blau</t>
  </si>
  <si>
    <t>Rinnenschnurr</t>
  </si>
  <si>
    <t>Scheren</t>
  </si>
  <si>
    <t>Winkeldoppelfalzer</t>
  </si>
  <si>
    <t>m. Pinsel</t>
  </si>
  <si>
    <t>Gewichtsübersicht</t>
  </si>
  <si>
    <t>ALU Band</t>
  </si>
  <si>
    <t>ALU Riffelblech</t>
  </si>
  <si>
    <t>KUPFER Band</t>
  </si>
  <si>
    <t>EDELSTAHL Band</t>
  </si>
  <si>
    <t>UGINOX Band</t>
  </si>
  <si>
    <t>VZ Band</t>
  </si>
  <si>
    <t>ZINK Band</t>
  </si>
  <si>
    <t>Blechtafeln</t>
  </si>
  <si>
    <t>Fehlendes Sortiment - Notizen</t>
  </si>
  <si>
    <t>Dichtblindnieten</t>
  </si>
  <si>
    <t>3,2 x 6,0 mm</t>
  </si>
  <si>
    <t>3,2 x 8,0 mm</t>
  </si>
  <si>
    <t>3,2 x 6,5 mm</t>
  </si>
  <si>
    <t>500 Stück</t>
  </si>
  <si>
    <t>Wirrgelege (Tennlage unter Blechdach)</t>
  </si>
  <si>
    <t>Bezeichnung</t>
  </si>
  <si>
    <t>€/qm</t>
  </si>
  <si>
    <t>25 x 1,5 m</t>
  </si>
  <si>
    <t xml:space="preserve">K-Vent easy </t>
  </si>
  <si>
    <t>30 x 1,4 m</t>
  </si>
  <si>
    <t>900 g</t>
  </si>
  <si>
    <t>Spaltbänder</t>
  </si>
  <si>
    <t>36 mtr.</t>
  </si>
  <si>
    <t>Alu-Tafelblech Weiß</t>
  </si>
  <si>
    <t>VZ Band Stärke ???? (noch erfragen)</t>
  </si>
  <si>
    <t>Troung</t>
  </si>
  <si>
    <t>Alu Lochbleich 1x2 anthrazit</t>
  </si>
  <si>
    <t>TP</t>
  </si>
  <si>
    <t>Mitarbeiter</t>
  </si>
  <si>
    <t>PB</t>
  </si>
  <si>
    <t>Zink Tafelbleche 0,7 x 1000 x 2000 mm</t>
  </si>
  <si>
    <t>Lax</t>
  </si>
  <si>
    <t>VK/Tfl</t>
  </si>
  <si>
    <t>EK/Tfl</t>
  </si>
  <si>
    <t>Gewicht/Tafel</t>
  </si>
  <si>
    <t>€/Kg</t>
  </si>
  <si>
    <t xml:space="preserve">Rabatt: </t>
  </si>
  <si>
    <t>anthrazit ähnl. RAL 7016</t>
  </si>
  <si>
    <t>Verz. Band</t>
  </si>
  <si>
    <t>VZ Bänder - Tafeln</t>
  </si>
  <si>
    <t>KUPFER Bänder - Tafeln -Spaltband</t>
  </si>
  <si>
    <t>UGINOX 1.4509 Bänder - Tafeln - Spaltb.</t>
  </si>
  <si>
    <t>Aluminium einseitig besch. -Kantqualität</t>
  </si>
  <si>
    <t>ALU besch. Lochblech 5/7</t>
  </si>
  <si>
    <t>anthrazitgrau 7016/sepiabraun 8014</t>
  </si>
  <si>
    <t>EK Aufsch. -ab 1.9.21</t>
  </si>
  <si>
    <t>Schneefangrohr 1"- Zoll</t>
  </si>
  <si>
    <t>32 x 2 mm</t>
  </si>
  <si>
    <t>Kunststoff</t>
  </si>
  <si>
    <t>verz. besch.</t>
  </si>
  <si>
    <t xml:space="preserve">1" Rohr Verbindungsmuffe </t>
  </si>
  <si>
    <t>ALU blank</t>
  </si>
  <si>
    <t xml:space="preserve">Uginox Standrohrkappe 120/100 </t>
  </si>
  <si>
    <t>Olvermann</t>
  </si>
  <si>
    <t>Titanzink Tafelblech</t>
  </si>
  <si>
    <t>EDELSTAHL Bänder - Tafeln (blank)</t>
  </si>
  <si>
    <t>TITANZINK Bänder - Tafeln - Spaltband</t>
  </si>
  <si>
    <t>KUPFER</t>
  </si>
  <si>
    <t>33 x 2 mm</t>
  </si>
  <si>
    <t>5000 mm</t>
  </si>
  <si>
    <t>6000 mm</t>
  </si>
  <si>
    <t xml:space="preserve"> (für Rohr 32x2 mm)</t>
  </si>
  <si>
    <t xml:space="preserve">Schneefang-Rohr 32 x 2 mm </t>
  </si>
  <si>
    <t>Notizen</t>
  </si>
  <si>
    <t>25er - 0,7</t>
  </si>
  <si>
    <t>28er - 0,7</t>
  </si>
  <si>
    <t>33er - 0,7</t>
  </si>
  <si>
    <t>40er - 0,7</t>
  </si>
  <si>
    <r>
      <rPr>
        <sz val="12"/>
        <rFont val="Segoe UI"/>
        <family val="2"/>
      </rPr>
      <t>Aktuelle</t>
    </r>
    <r>
      <rPr>
        <b/>
        <sz val="12"/>
        <rFont val="Segoe UI"/>
        <family val="2"/>
      </rPr>
      <t xml:space="preserve"> MK - LME Notierung (Südmetall)</t>
    </r>
  </si>
  <si>
    <r>
      <rPr>
        <sz val="12"/>
        <rFont val="Segoe UI"/>
        <family val="2"/>
      </rPr>
      <t>Aktuelle</t>
    </r>
    <r>
      <rPr>
        <b/>
        <sz val="12"/>
        <rFont val="Segoe UI"/>
        <family val="2"/>
      </rPr>
      <t xml:space="preserve"> MK - LME Notierung 
(Palmer Bleche)</t>
    </r>
  </si>
  <si>
    <r>
      <rPr>
        <b/>
        <sz val="10"/>
        <rFont val="Segoe UI"/>
        <family val="2"/>
      </rPr>
      <t xml:space="preserve">V4A </t>
    </r>
    <r>
      <rPr>
        <sz val="10"/>
        <rFont val="Segoe UI"/>
        <family val="2"/>
      </rPr>
      <t>UGITOP 1.4404 (316) Bänder</t>
    </r>
  </si>
  <si>
    <r>
      <t xml:space="preserve">Wirrgelege </t>
    </r>
    <r>
      <rPr>
        <sz val="8"/>
        <rFont val="Segoe UI"/>
        <family val="2"/>
      </rPr>
      <t>(mit und ohne Unterdeckung)</t>
    </r>
  </si>
  <si>
    <r>
      <rPr>
        <b/>
        <sz val="12"/>
        <rFont val="Segoe UI"/>
        <family val="2"/>
      </rPr>
      <t xml:space="preserve">   </t>
    </r>
    <r>
      <rPr>
        <b/>
        <u/>
        <sz val="12"/>
        <rFont val="Segoe UI"/>
        <family val="2"/>
      </rPr>
      <t>Bänder:</t>
    </r>
  </si>
  <si>
    <r>
      <rPr>
        <b/>
        <sz val="12"/>
        <rFont val="Segoe UI"/>
        <family val="2"/>
      </rPr>
      <t xml:space="preserve">   </t>
    </r>
    <r>
      <rPr>
        <b/>
        <u/>
        <sz val="12"/>
        <rFont val="Segoe UI"/>
        <family val="2"/>
      </rPr>
      <t>Tafeln:</t>
    </r>
  </si>
  <si>
    <r>
      <t xml:space="preserve">Art-Nr. </t>
    </r>
    <r>
      <rPr>
        <sz val="8"/>
        <color theme="1"/>
        <rFont val="Segoe UI"/>
        <family val="2"/>
      </rPr>
      <t>901001</t>
    </r>
  </si>
  <si>
    <r>
      <t xml:space="preserve">Kupferablaufrohre  </t>
    </r>
    <r>
      <rPr>
        <b/>
        <sz val="8"/>
        <color theme="1"/>
        <rFont val="Segoe UI"/>
        <family val="2"/>
      </rPr>
      <t>- nahtlos geschweißt -</t>
    </r>
  </si>
  <si>
    <r>
      <t xml:space="preserve">Kupfer-umm. Rinnenhaken </t>
    </r>
    <r>
      <rPr>
        <b/>
        <sz val="8"/>
        <color theme="1"/>
        <rFont val="Segoe UI"/>
        <family val="2"/>
      </rPr>
      <t xml:space="preserve"> - Münchner Ausführung m. langer Feder</t>
    </r>
  </si>
  <si>
    <r>
      <t xml:space="preserve">Kupfer-umm.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</si>
  <si>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20er innen </t>
    </r>
    <r>
      <rPr>
        <sz val="8"/>
        <color rgb="FF00B050"/>
        <rFont val="Segoe UI"/>
        <family val="2"/>
      </rPr>
      <t xml:space="preserve">- gelötet - 300 mm </t>
    </r>
  </si>
  <si>
    <r>
      <t xml:space="preserve">25er innen </t>
    </r>
    <r>
      <rPr>
        <sz val="8"/>
        <color theme="1"/>
        <rFont val="Segoe UI"/>
        <family val="2"/>
      </rPr>
      <t>- tiefgezogen - 300 mm</t>
    </r>
  </si>
  <si>
    <r>
      <t xml:space="preserve">28er innen </t>
    </r>
    <r>
      <rPr>
        <sz val="8"/>
        <color rgb="FF00B050"/>
        <rFont val="Segoe UI"/>
        <family val="2"/>
      </rPr>
      <t>- gelötet - 500 mm</t>
    </r>
  </si>
  <si>
    <r>
      <t>33er innen</t>
    </r>
    <r>
      <rPr>
        <sz val="8"/>
        <color theme="1"/>
        <rFont val="Segoe UI"/>
        <family val="2"/>
      </rPr>
      <t xml:space="preserve"> - tiefgezogen - 300 mm</t>
    </r>
  </si>
  <si>
    <r>
      <t>33er innen</t>
    </r>
    <r>
      <rPr>
        <sz val="8"/>
        <color theme="1"/>
        <rFont val="Segoe UI"/>
        <family val="2"/>
      </rPr>
      <t xml:space="preserve"> - gelötet - 500 mm</t>
    </r>
  </si>
  <si>
    <r>
      <t>40er innen</t>
    </r>
    <r>
      <rPr>
        <sz val="8"/>
        <color theme="1"/>
        <rFont val="Segoe UI"/>
        <family val="2"/>
      </rPr>
      <t xml:space="preserve"> - tiefgezogen - 500 mm</t>
    </r>
  </si>
  <si>
    <r>
      <t xml:space="preserve">20er aussen </t>
    </r>
    <r>
      <rPr>
        <sz val="8"/>
        <color rgb="FF00B050"/>
        <rFont val="Segoe UI"/>
        <family val="2"/>
      </rPr>
      <t>- gelötet - 300 mm</t>
    </r>
  </si>
  <si>
    <r>
      <t xml:space="preserve">25er aussen </t>
    </r>
    <r>
      <rPr>
        <sz val="8"/>
        <color theme="1"/>
        <rFont val="Segoe UI"/>
        <family val="2"/>
      </rPr>
      <t>- tiefgezogen - 300 mm</t>
    </r>
  </si>
  <si>
    <r>
      <t xml:space="preserve">33er aussen </t>
    </r>
    <r>
      <rPr>
        <sz val="8"/>
        <color theme="1"/>
        <rFont val="Segoe UI"/>
        <family val="2"/>
      </rPr>
      <t>- tiefgezogen - 300 mm</t>
    </r>
  </si>
  <si>
    <r>
      <t xml:space="preserve">33er aussen </t>
    </r>
    <r>
      <rPr>
        <sz val="8"/>
        <color theme="1"/>
        <rFont val="Segoe UI"/>
        <family val="2"/>
      </rPr>
      <t>- gelötet - 500 mm</t>
    </r>
  </si>
  <si>
    <r>
      <t xml:space="preserve">40er aussen </t>
    </r>
    <r>
      <rPr>
        <sz val="8"/>
        <color theme="1"/>
        <rFont val="Segoe UI"/>
        <family val="2"/>
      </rPr>
      <t>- tiefgezogen - 500 mm</t>
    </r>
  </si>
  <si>
    <r>
      <t xml:space="preserve">20er innen </t>
    </r>
    <r>
      <rPr>
        <sz val="8"/>
        <color rgb="FF00B050"/>
        <rFont val="Segoe UI"/>
        <family val="2"/>
      </rPr>
      <t>- gelötet</t>
    </r>
  </si>
  <si>
    <r>
      <t xml:space="preserve">25er innen </t>
    </r>
    <r>
      <rPr>
        <sz val="8"/>
        <color theme="1"/>
        <rFont val="Segoe UI"/>
        <family val="2"/>
      </rPr>
      <t>- gelötet</t>
    </r>
  </si>
  <si>
    <r>
      <t xml:space="preserve">28er innen </t>
    </r>
    <r>
      <rPr>
        <sz val="8"/>
        <color rgb="FF00B050"/>
        <rFont val="Segoe UI"/>
        <family val="2"/>
      </rPr>
      <t>- gelötet</t>
    </r>
  </si>
  <si>
    <r>
      <t xml:space="preserve">33er innen </t>
    </r>
    <r>
      <rPr>
        <sz val="8"/>
        <color theme="1"/>
        <rFont val="Segoe UI"/>
        <family val="2"/>
      </rPr>
      <t>- gelötet</t>
    </r>
  </si>
  <si>
    <r>
      <t xml:space="preserve">40er innen </t>
    </r>
    <r>
      <rPr>
        <sz val="8"/>
        <rFont val="Segoe UI"/>
        <family val="2"/>
      </rPr>
      <t>- gelötet</t>
    </r>
  </si>
  <si>
    <r>
      <t>20er aussen</t>
    </r>
    <r>
      <rPr>
        <sz val="8"/>
        <color rgb="FF00B050"/>
        <rFont val="Segoe UI"/>
        <family val="2"/>
      </rPr>
      <t xml:space="preserve"> - gelötet</t>
    </r>
  </si>
  <si>
    <r>
      <t>25er aussen</t>
    </r>
    <r>
      <rPr>
        <sz val="8"/>
        <color theme="1"/>
        <rFont val="Segoe UI"/>
        <family val="2"/>
      </rPr>
      <t xml:space="preserve"> - gelötet</t>
    </r>
  </si>
  <si>
    <r>
      <t xml:space="preserve">28er aussen </t>
    </r>
    <r>
      <rPr>
        <sz val="8"/>
        <color rgb="FF00B050"/>
        <rFont val="Segoe UI"/>
        <family val="2"/>
      </rPr>
      <t>- gelötet</t>
    </r>
  </si>
  <si>
    <r>
      <t xml:space="preserve">33er aussen </t>
    </r>
    <r>
      <rPr>
        <sz val="8"/>
        <color theme="1"/>
        <rFont val="Segoe UI"/>
        <family val="2"/>
      </rPr>
      <t>- gelötet</t>
    </r>
  </si>
  <si>
    <r>
      <t>40er aussen</t>
    </r>
    <r>
      <rPr>
        <sz val="8"/>
        <rFont val="Segoe UI"/>
        <family val="2"/>
      </rPr>
      <t xml:space="preserve"> - gelötet</t>
    </r>
  </si>
  <si>
    <r>
      <t>Kupferrinnendilla halbrund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</si>
  <si>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Kupfer-Kastenrinnendilla 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</si>
  <si>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Kupfer Einhangstutzen </t>
    </r>
    <r>
      <rPr>
        <b/>
        <sz val="8"/>
        <color theme="1"/>
        <rFont val="Segoe UI"/>
        <family val="2"/>
      </rPr>
      <t>mit Stern</t>
    </r>
  </si>
  <si>
    <r>
      <t xml:space="preserve">Kupfer Kasten-Einhangstutzen </t>
    </r>
    <r>
      <rPr>
        <b/>
        <sz val="8"/>
        <color theme="1"/>
        <rFont val="Segoe UI"/>
        <family val="2"/>
      </rPr>
      <t>mit Stern</t>
    </r>
  </si>
  <si>
    <r>
      <t xml:space="preserve">Kupfer Wasserfangkasten </t>
    </r>
    <r>
      <rPr>
        <b/>
        <sz val="8"/>
        <color theme="1"/>
        <rFont val="Segoe UI"/>
        <family val="2"/>
      </rPr>
      <t xml:space="preserve"> - quatratisch mit Stern</t>
    </r>
  </si>
  <si>
    <r>
      <t xml:space="preserve">  80 </t>
    </r>
    <r>
      <rPr>
        <sz val="8"/>
        <rFont val="Segoe UI"/>
        <family val="2"/>
      </rPr>
      <t>- 345x200x200 mm</t>
    </r>
  </si>
  <si>
    <r>
      <t xml:space="preserve">100 </t>
    </r>
    <r>
      <rPr>
        <sz val="8"/>
        <rFont val="Segoe UI"/>
        <family val="2"/>
      </rPr>
      <t>- 395x220x220 mm</t>
    </r>
  </si>
  <si>
    <r>
      <t xml:space="preserve">120 </t>
    </r>
    <r>
      <rPr>
        <sz val="8"/>
        <rFont val="Segoe UI"/>
        <family val="2"/>
      </rPr>
      <t>- 370x200x200 mm</t>
    </r>
  </si>
  <si>
    <r>
      <t xml:space="preserve">Kupfer Rohrbogen </t>
    </r>
    <r>
      <rPr>
        <b/>
        <sz val="8"/>
        <color theme="1"/>
        <rFont val="Segoe UI"/>
        <family val="2"/>
      </rPr>
      <t>mit Stern</t>
    </r>
  </si>
  <si>
    <r>
      <t xml:space="preserve">Kupfer Sockelknie </t>
    </r>
    <r>
      <rPr>
        <b/>
        <sz val="8"/>
        <color theme="1"/>
        <rFont val="Segoe UI"/>
        <family val="2"/>
      </rPr>
      <t>mit Stern</t>
    </r>
  </si>
  <si>
    <r>
      <t xml:space="preserve">Kupfer Fallrohrabzweig 72° </t>
    </r>
    <r>
      <rPr>
        <b/>
        <sz val="8"/>
        <color theme="1"/>
        <rFont val="Segoe UI"/>
        <family val="2"/>
      </rPr>
      <t>mit Stern</t>
    </r>
  </si>
  <si>
    <r>
      <t xml:space="preserve">Kupfer Ablaufrohrschelle </t>
    </r>
    <r>
      <rPr>
        <b/>
        <sz val="8"/>
        <color theme="1"/>
        <rFont val="Segoe UI"/>
        <family val="2"/>
      </rPr>
      <t>M8/10</t>
    </r>
  </si>
  <si>
    <r>
      <t xml:space="preserve">Kupfer Regenwasserkappe </t>
    </r>
    <r>
      <rPr>
        <b/>
        <sz val="8"/>
        <color theme="1"/>
        <rFont val="Segoe UI"/>
        <family val="2"/>
      </rPr>
      <t>mit Edelstahlsieb</t>
    </r>
  </si>
  <si>
    <r>
      <t xml:space="preserve">Kupfer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</si>
  <si>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Kupfer Wassersammler </t>
    </r>
    <r>
      <rPr>
        <b/>
        <sz val="8"/>
        <color theme="1"/>
        <rFont val="Segoe UI"/>
        <family val="2"/>
      </rPr>
      <t>incl. Schlauchset</t>
    </r>
  </si>
  <si>
    <r>
      <t xml:space="preserve">Kupfer Standrohrkappe </t>
    </r>
    <r>
      <rPr>
        <b/>
        <sz val="8"/>
        <color theme="1"/>
        <rFont val="Segoe UI"/>
        <family val="2"/>
      </rPr>
      <t>flach</t>
    </r>
  </si>
  <si>
    <r>
      <t xml:space="preserve">Uginox Dachrinnen </t>
    </r>
    <r>
      <rPr>
        <b/>
        <sz val="8"/>
        <color theme="1"/>
        <rFont val="Segoe UI"/>
        <family val="2"/>
      </rPr>
      <t xml:space="preserve"> matt gewalzt, Werkstoff-Nr. 1.4301</t>
    </r>
  </si>
  <si>
    <r>
      <t xml:space="preserve">Uginox-Kastendachrinnen </t>
    </r>
    <r>
      <rPr>
        <b/>
        <sz val="8"/>
        <color theme="1"/>
        <rFont val="Segoe UI"/>
        <family val="2"/>
      </rPr>
      <t>matt gewalzt, Werkstoff-Nr. 1.4301</t>
    </r>
  </si>
  <si>
    <r>
      <t xml:space="preserve">Uginox -Ablaufrohre  </t>
    </r>
    <r>
      <rPr>
        <b/>
        <sz val="8"/>
        <color theme="1"/>
        <rFont val="Segoe UI"/>
        <family val="2"/>
      </rPr>
      <t>- nahtlos geschweißt -</t>
    </r>
  </si>
  <si>
    <r>
      <t xml:space="preserve">Uginox-umm.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</si>
  <si>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Uginox Rinnenwinkel 90° - </t>
    </r>
    <r>
      <rPr>
        <b/>
        <sz val="8"/>
        <color theme="1"/>
        <rFont val="Segoe UI"/>
        <family val="2"/>
      </rPr>
      <t xml:space="preserve"> Schenkellänge 300 mm</t>
    </r>
  </si>
  <si>
    <r>
      <t xml:space="preserve">25er innen </t>
    </r>
    <r>
      <rPr>
        <sz val="8"/>
        <color theme="1"/>
        <rFont val="Segoe UI"/>
        <family val="2"/>
      </rPr>
      <t>- gezogen</t>
    </r>
  </si>
  <si>
    <r>
      <t xml:space="preserve">28er innen </t>
    </r>
    <r>
      <rPr>
        <sz val="8"/>
        <color rgb="FF00B050"/>
        <rFont val="Segoe UI"/>
        <family val="2"/>
      </rPr>
      <t>- gezogen</t>
    </r>
  </si>
  <si>
    <r>
      <t>33er innen</t>
    </r>
    <r>
      <rPr>
        <sz val="8"/>
        <color theme="1"/>
        <rFont val="Segoe UI"/>
        <family val="2"/>
      </rPr>
      <t xml:space="preserve"> - gezogen</t>
    </r>
  </si>
  <si>
    <r>
      <t>40er innen</t>
    </r>
    <r>
      <rPr>
        <sz val="8"/>
        <color theme="1"/>
        <rFont val="Segoe UI"/>
        <family val="2"/>
      </rPr>
      <t xml:space="preserve"> - gezogen</t>
    </r>
  </si>
  <si>
    <r>
      <t xml:space="preserve">25er aussen </t>
    </r>
    <r>
      <rPr>
        <sz val="8"/>
        <color theme="1"/>
        <rFont val="Segoe UI"/>
        <family val="2"/>
      </rPr>
      <t>- gezogen</t>
    </r>
  </si>
  <si>
    <r>
      <t xml:space="preserve">28er aussen </t>
    </r>
    <r>
      <rPr>
        <sz val="8"/>
        <color rgb="FF00B050"/>
        <rFont val="Segoe UI"/>
        <family val="2"/>
      </rPr>
      <t>- gezogen</t>
    </r>
  </si>
  <si>
    <r>
      <t xml:space="preserve">33er aussen </t>
    </r>
    <r>
      <rPr>
        <sz val="8"/>
        <color theme="1"/>
        <rFont val="Segoe UI"/>
        <family val="2"/>
      </rPr>
      <t>- gezogen</t>
    </r>
  </si>
  <si>
    <r>
      <t xml:space="preserve">40er aussen </t>
    </r>
    <r>
      <rPr>
        <sz val="8"/>
        <color theme="1"/>
        <rFont val="Segoe UI"/>
        <family val="2"/>
      </rPr>
      <t>- gezogen</t>
    </r>
  </si>
  <si>
    <r>
      <t xml:space="preserve">Uginox-Kastenrinnenwinkel 90° </t>
    </r>
    <r>
      <rPr>
        <b/>
        <sz val="8"/>
        <color theme="1"/>
        <rFont val="Segoe UI"/>
        <family val="2"/>
      </rPr>
      <t>-  Schenkellänge 300 mm</t>
    </r>
  </si>
  <si>
    <r>
      <t>33er innen</t>
    </r>
    <r>
      <rPr>
        <sz val="8"/>
        <color theme="1"/>
        <rFont val="Segoe UI"/>
        <family val="2"/>
      </rPr>
      <t xml:space="preserve"> - gelötet</t>
    </r>
  </si>
  <si>
    <r>
      <t>40er innen</t>
    </r>
    <r>
      <rPr>
        <sz val="8"/>
        <color theme="1"/>
        <rFont val="Segoe UI"/>
        <family val="2"/>
      </rPr>
      <t xml:space="preserve"> - gelötet</t>
    </r>
  </si>
  <si>
    <r>
      <t xml:space="preserve">25er aussen </t>
    </r>
    <r>
      <rPr>
        <sz val="8"/>
        <color theme="1"/>
        <rFont val="Segoe UI"/>
        <family val="2"/>
      </rPr>
      <t>- gelötet</t>
    </r>
  </si>
  <si>
    <r>
      <t xml:space="preserve">40er aussen </t>
    </r>
    <r>
      <rPr>
        <sz val="8"/>
        <color theme="1"/>
        <rFont val="Segoe UI"/>
        <family val="2"/>
      </rPr>
      <t>- gelötet</t>
    </r>
  </si>
  <si>
    <r>
      <t xml:space="preserve">Uginox Einhangstutzen </t>
    </r>
    <r>
      <rPr>
        <b/>
        <sz val="8"/>
        <color theme="1"/>
        <rFont val="Segoe UI"/>
        <family val="2"/>
      </rPr>
      <t>mit Stern</t>
    </r>
  </si>
  <si>
    <r>
      <t xml:space="preserve">Uginox Kasten-Einhangstutzen </t>
    </r>
    <r>
      <rPr>
        <b/>
        <sz val="8"/>
        <color theme="1"/>
        <rFont val="Segoe UI"/>
        <family val="2"/>
      </rPr>
      <t>mit Stern</t>
    </r>
  </si>
  <si>
    <r>
      <t xml:space="preserve">Uginox Wasserfangkasten </t>
    </r>
    <r>
      <rPr>
        <b/>
        <sz val="8"/>
        <color theme="1"/>
        <rFont val="Segoe UI"/>
        <family val="2"/>
      </rPr>
      <t xml:space="preserve"> - quatratisch mit Stern</t>
    </r>
  </si>
  <si>
    <r>
      <t xml:space="preserve">120 </t>
    </r>
    <r>
      <rPr>
        <sz val="8"/>
        <rFont val="Segoe UI"/>
        <family val="2"/>
      </rPr>
      <t>- 395x220x220 mm</t>
    </r>
  </si>
  <si>
    <r>
      <t xml:space="preserve">Uginox Rohrbogen </t>
    </r>
    <r>
      <rPr>
        <b/>
        <sz val="8"/>
        <color theme="1"/>
        <rFont val="Segoe UI"/>
        <family val="2"/>
      </rPr>
      <t>mit Stern</t>
    </r>
  </si>
  <si>
    <r>
      <t xml:space="preserve">Uginox Sockelknie </t>
    </r>
    <r>
      <rPr>
        <b/>
        <sz val="8"/>
        <color theme="1"/>
        <rFont val="Segoe UI"/>
        <family val="2"/>
      </rPr>
      <t>mit Stern</t>
    </r>
  </si>
  <si>
    <r>
      <t xml:space="preserve">Uginox Fallrohrabzweig 72° </t>
    </r>
    <r>
      <rPr>
        <b/>
        <sz val="8"/>
        <color theme="1"/>
        <rFont val="Segoe UI"/>
        <family val="2"/>
      </rPr>
      <t>mit Stern</t>
    </r>
  </si>
  <si>
    <r>
      <t xml:space="preserve">Edelstahl Rohrschelle </t>
    </r>
    <r>
      <rPr>
        <b/>
        <sz val="8"/>
        <color theme="1"/>
        <rFont val="Segoe UI"/>
        <family val="2"/>
      </rPr>
      <t>M8/10</t>
    </r>
  </si>
  <si>
    <r>
      <t xml:space="preserve">Uginox Regenwasserklappe </t>
    </r>
    <r>
      <rPr>
        <b/>
        <sz val="8"/>
        <color theme="1"/>
        <rFont val="Segoe UI"/>
        <family val="2"/>
      </rPr>
      <t>mit Edelstahlsieb</t>
    </r>
  </si>
  <si>
    <r>
      <t xml:space="preserve">Uginox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</si>
  <si>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Uginox Wassersammler </t>
    </r>
    <r>
      <rPr>
        <b/>
        <sz val="8"/>
        <color theme="1"/>
        <rFont val="Segoe UI"/>
        <family val="2"/>
      </rPr>
      <t>incl. Schlauchset</t>
    </r>
  </si>
  <si>
    <r>
      <t xml:space="preserve">Uginox Standrohrkappe </t>
    </r>
    <r>
      <rPr>
        <b/>
        <sz val="8"/>
        <color theme="1"/>
        <rFont val="Segoe UI"/>
        <family val="2"/>
      </rPr>
      <t>flach</t>
    </r>
  </si>
  <si>
    <r>
      <t xml:space="preserve">Art.-Nr. </t>
    </r>
    <r>
      <rPr>
        <sz val="8"/>
        <color theme="1"/>
        <rFont val="Segoe UI"/>
        <family val="2"/>
      </rPr>
      <t>903001</t>
    </r>
  </si>
  <si>
    <r>
      <t xml:space="preserve">Titanzink Ablaufrohre  </t>
    </r>
    <r>
      <rPr>
        <b/>
        <sz val="8"/>
        <color theme="1"/>
        <rFont val="Segoe UI"/>
        <family val="2"/>
      </rPr>
      <t>- nahtlos geschweißt -</t>
    </r>
  </si>
  <si>
    <r>
      <t xml:space="preserve">Art.-Nr. </t>
    </r>
    <r>
      <rPr>
        <sz val="8"/>
        <color theme="1"/>
        <rFont val="Segoe UI"/>
        <family val="2"/>
      </rPr>
      <t>903005</t>
    </r>
  </si>
  <si>
    <r>
      <t xml:space="preserve">Zink-umm. Rinnenhaken </t>
    </r>
    <r>
      <rPr>
        <b/>
        <sz val="8"/>
        <color theme="1"/>
        <rFont val="Segoe UI"/>
        <family val="2"/>
      </rPr>
      <t xml:space="preserve"> </t>
    </r>
  </si>
  <si>
    <r>
      <t xml:space="preserve">Zink-umm. Kasten-Rinnenhaken </t>
    </r>
    <r>
      <rPr>
        <b/>
        <sz val="8"/>
        <color theme="1"/>
        <rFont val="Segoe UI"/>
        <family val="2"/>
      </rPr>
      <t xml:space="preserve"> </t>
    </r>
  </si>
  <si>
    <r>
      <t xml:space="preserve">Titanzink Rinnenwinkel 90° - </t>
    </r>
    <r>
      <rPr>
        <b/>
        <sz val="8"/>
        <color theme="1"/>
        <rFont val="Segoe UI"/>
        <family val="2"/>
      </rPr>
      <t xml:space="preserve"> Schenkellänge 500 mm</t>
    </r>
  </si>
  <si>
    <r>
      <t xml:space="preserve">25er innen </t>
    </r>
    <r>
      <rPr>
        <sz val="8"/>
        <rFont val="Segoe UI"/>
        <family val="2"/>
      </rPr>
      <t>- tiefgezogen (300 mm)</t>
    </r>
  </si>
  <si>
    <r>
      <t>40er innen</t>
    </r>
    <r>
      <rPr>
        <sz val="8"/>
        <color theme="1"/>
        <rFont val="Segoe UI"/>
        <family val="2"/>
      </rPr>
      <t xml:space="preserve"> - tiefgezogen  (300 mm)</t>
    </r>
  </si>
  <si>
    <r>
      <t xml:space="preserve">20er aussen </t>
    </r>
    <r>
      <rPr>
        <sz val="8"/>
        <color rgb="FF00B050"/>
        <rFont val="Segoe UI"/>
        <family val="2"/>
      </rPr>
      <t>- gelötet</t>
    </r>
  </si>
  <si>
    <r>
      <t xml:space="preserve">25er aussen </t>
    </r>
    <r>
      <rPr>
        <sz val="8"/>
        <rFont val="Segoe UI"/>
        <family val="2"/>
      </rPr>
      <t>- tiefgezogen (300 mm)</t>
    </r>
  </si>
  <si>
    <r>
      <t xml:space="preserve">33er aussen </t>
    </r>
    <r>
      <rPr>
        <sz val="8"/>
        <color theme="1"/>
        <rFont val="Segoe UI"/>
        <family val="2"/>
      </rPr>
      <t>- tiefgezogen</t>
    </r>
  </si>
  <si>
    <r>
      <t xml:space="preserve">40er aussen </t>
    </r>
    <r>
      <rPr>
        <sz val="8"/>
        <color theme="1"/>
        <rFont val="Segoe UI"/>
        <family val="2"/>
      </rPr>
      <t>- tiefgezogen (300 mm)</t>
    </r>
  </si>
  <si>
    <r>
      <t xml:space="preserve">25er innen </t>
    </r>
    <r>
      <rPr>
        <sz val="8"/>
        <color rgb="FF00B050"/>
        <rFont val="Segoe UI"/>
        <family val="2"/>
      </rPr>
      <t>- gelötet</t>
    </r>
  </si>
  <si>
    <r>
      <t xml:space="preserve">33er innen </t>
    </r>
    <r>
      <rPr>
        <sz val="8"/>
        <color rgb="FF00B050"/>
        <rFont val="Segoe UI"/>
        <family val="2"/>
      </rPr>
      <t>- gelötet</t>
    </r>
  </si>
  <si>
    <r>
      <t xml:space="preserve">40er innen </t>
    </r>
    <r>
      <rPr>
        <sz val="8"/>
        <color rgb="FF00B050"/>
        <rFont val="Segoe UI"/>
        <family val="2"/>
      </rPr>
      <t>- gelötet</t>
    </r>
  </si>
  <si>
    <r>
      <t>25er aussen</t>
    </r>
    <r>
      <rPr>
        <sz val="8"/>
        <color rgb="FF00B050"/>
        <rFont val="Segoe UI"/>
        <family val="2"/>
      </rPr>
      <t xml:space="preserve"> - gelötet</t>
    </r>
  </si>
  <si>
    <r>
      <t xml:space="preserve">33er aussen </t>
    </r>
    <r>
      <rPr>
        <sz val="8"/>
        <color rgb="FF00B050"/>
        <rFont val="Segoe UI"/>
        <family val="2"/>
      </rPr>
      <t>- gelötet</t>
    </r>
  </si>
  <si>
    <r>
      <t>40er aussen</t>
    </r>
    <r>
      <rPr>
        <sz val="8"/>
        <color rgb="FF00B050"/>
        <rFont val="Segoe UI"/>
        <family val="2"/>
      </rPr>
      <t xml:space="preserve"> - gelötet</t>
    </r>
  </si>
  <si>
    <r>
      <t>Titanzink Rinnendilla halbrund</t>
    </r>
    <r>
      <rPr>
        <b/>
        <sz val="8"/>
        <color theme="1"/>
        <rFont val="Segoe UI"/>
        <family val="2"/>
      </rPr>
      <t xml:space="preserve"> - einseitig vulkanisiert</t>
    </r>
  </si>
  <si>
    <r>
      <t xml:space="preserve">Titanzink Einhangstutzen </t>
    </r>
    <r>
      <rPr>
        <b/>
        <sz val="8"/>
        <color theme="1"/>
        <rFont val="Segoe UI"/>
        <family val="2"/>
      </rPr>
      <t>mit Stern</t>
    </r>
  </si>
  <si>
    <r>
      <t xml:space="preserve">Titanzink Kasten-Einhangstutzen </t>
    </r>
    <r>
      <rPr>
        <b/>
        <sz val="8"/>
        <color theme="1"/>
        <rFont val="Segoe UI"/>
        <family val="2"/>
      </rPr>
      <t>mit Stern</t>
    </r>
  </si>
  <si>
    <r>
      <t xml:space="preserve">Titanzink Sockelknie </t>
    </r>
    <r>
      <rPr>
        <b/>
        <sz val="8"/>
        <color theme="1"/>
        <rFont val="Segoe UI"/>
        <family val="2"/>
      </rPr>
      <t>mit Stern</t>
    </r>
  </si>
  <si>
    <r>
      <t xml:space="preserve">Titanzink Fallrohrabzweig 72° </t>
    </r>
    <r>
      <rPr>
        <b/>
        <sz val="8"/>
        <color theme="1"/>
        <rFont val="Segoe UI"/>
        <family val="2"/>
      </rPr>
      <t>mit Stern</t>
    </r>
  </si>
  <si>
    <r>
      <t xml:space="preserve">Titanzink Rohrschelle </t>
    </r>
    <r>
      <rPr>
        <b/>
        <sz val="8"/>
        <color theme="1"/>
        <rFont val="Segoe UI"/>
        <family val="2"/>
      </rPr>
      <t>M8/10</t>
    </r>
  </si>
  <si>
    <r>
      <t xml:space="preserve">Titanzink Regenwassersammler </t>
    </r>
    <r>
      <rPr>
        <b/>
        <sz val="8"/>
        <color theme="1"/>
        <rFont val="Segoe UI"/>
        <family val="2"/>
      </rPr>
      <t>mit Edelstahlsieb</t>
    </r>
  </si>
  <si>
    <r>
      <t xml:space="preserve">Titanzink ROLAFIX-MINI Laubfangvorrichtung </t>
    </r>
    <r>
      <rPr>
        <b/>
        <sz val="8"/>
        <color theme="1"/>
        <rFont val="Segoe UI"/>
        <family val="2"/>
      </rPr>
      <t>Baulänge: 500 mm incl. V2A Laubkorb</t>
    </r>
  </si>
  <si>
    <r>
      <t xml:space="preserve">Titanzink Standrohrkappe </t>
    </r>
    <r>
      <rPr>
        <b/>
        <sz val="8"/>
        <color theme="1"/>
        <rFont val="Segoe UI"/>
        <family val="2"/>
      </rPr>
      <t>flach</t>
    </r>
  </si>
  <si>
    <r>
      <t xml:space="preserve">Verzinkte Rohrschelle </t>
    </r>
    <r>
      <rPr>
        <b/>
        <sz val="8"/>
        <color theme="1"/>
        <rFont val="Segoe UI"/>
        <family val="2"/>
      </rPr>
      <t>M8/10</t>
    </r>
  </si>
  <si>
    <r>
      <t xml:space="preserve">GRÖMO ALUSTAR Dachrinnen - TX </t>
    </r>
    <r>
      <rPr>
        <b/>
        <sz val="8"/>
        <color theme="1"/>
        <rFont val="Segoe UI"/>
        <family val="2"/>
      </rPr>
      <t>Strukturierte Oberfläche</t>
    </r>
  </si>
  <si>
    <r>
      <t>GRÖMO ALUSTAR Regenfallrohr rund - TX</t>
    </r>
    <r>
      <rPr>
        <b/>
        <sz val="8"/>
        <color theme="1"/>
        <rFont val="Segoe UI"/>
        <family val="2"/>
      </rPr>
      <t xml:space="preserve"> </t>
    </r>
  </si>
  <si>
    <r>
      <t xml:space="preserve">GRÖMO ALUSTAR Rinnenhaken - TX (ALU) </t>
    </r>
    <r>
      <rPr>
        <b/>
        <sz val="8"/>
        <color theme="1"/>
        <rFont val="Segoe UI"/>
        <family val="2"/>
      </rPr>
      <t>Strukturierte Oberfläche</t>
    </r>
  </si>
  <si>
    <r>
      <t xml:space="preserve">GRÖMO ALUSTAR Rinnenhaken - SX (VERZINKT) </t>
    </r>
    <r>
      <rPr>
        <b/>
        <sz val="8"/>
        <color theme="1"/>
        <rFont val="Segoe UI"/>
        <family val="2"/>
      </rPr>
      <t>Glatte Oberfläche</t>
    </r>
  </si>
  <si>
    <r>
      <t xml:space="preserve">GRÖMO ALUSTAR Rinnenwinkel 90° TX - </t>
    </r>
    <r>
      <rPr>
        <b/>
        <sz val="8"/>
        <color theme="1"/>
        <rFont val="Segoe UI"/>
        <family val="2"/>
      </rPr>
      <t xml:space="preserve"> Schenkellänge 300 mm</t>
    </r>
  </si>
  <si>
    <r>
      <t>GRÖMO ALUSTAR Rinnendilla - TX halbrund</t>
    </r>
    <r>
      <rPr>
        <b/>
        <sz val="8"/>
        <color theme="1"/>
        <rFont val="Segoe UI"/>
        <family val="2"/>
      </rPr>
      <t xml:space="preserve"> - doppelseitig vulkanisiert mit Blende</t>
    </r>
  </si>
  <si>
    <r>
      <t xml:space="preserve">GRÖMO ALUSTAR Einhangstutzen - TX </t>
    </r>
    <r>
      <rPr>
        <b/>
        <sz val="8"/>
        <color theme="1"/>
        <rFont val="Segoe UI"/>
        <family val="2"/>
      </rPr>
      <t>oval</t>
    </r>
  </si>
  <si>
    <r>
      <t>GRÖMO ALUSTAR Flachdach-Wasserfangkasten - TX</t>
    </r>
    <r>
      <rPr>
        <b/>
        <sz val="8"/>
        <color theme="1"/>
        <rFont val="Segoe UI"/>
        <family val="2"/>
      </rPr>
      <t xml:space="preserve">  ohne Zulauf </t>
    </r>
  </si>
  <si>
    <r>
      <t xml:space="preserve">100 </t>
    </r>
    <r>
      <rPr>
        <sz val="8"/>
        <rFont val="Segoe UI"/>
        <family val="2"/>
      </rPr>
      <t>-390x242x150 mm</t>
    </r>
  </si>
  <si>
    <r>
      <t xml:space="preserve">GRÖMO ALUSTAR Rohrbogen - TX </t>
    </r>
    <r>
      <rPr>
        <b/>
        <sz val="8"/>
        <color theme="1"/>
        <rFont val="Segoe UI"/>
        <family val="2"/>
      </rPr>
      <t>mit Einzug</t>
    </r>
  </si>
  <si>
    <r>
      <t xml:space="preserve">GRÖMO ALUSTAR Rohrschelle - TX  </t>
    </r>
    <r>
      <rPr>
        <b/>
        <sz val="8"/>
        <color theme="1"/>
        <rFont val="Segoe UI"/>
        <family val="2"/>
      </rPr>
      <t>M8/10</t>
    </r>
  </si>
  <si>
    <r>
      <t xml:space="preserve">GRÖMO ALUSTAR Regenwasserkappe - TX </t>
    </r>
    <r>
      <rPr>
        <b/>
        <sz val="8"/>
        <color theme="1"/>
        <rFont val="Segoe UI"/>
        <family val="2"/>
      </rPr>
      <t>mit Edelstahlsieb</t>
    </r>
  </si>
  <si>
    <r>
      <t xml:space="preserve">GRÖMO ALUSTAR Wassersammler </t>
    </r>
    <r>
      <rPr>
        <b/>
        <sz val="8"/>
        <color theme="1"/>
        <rFont val="Segoe UI"/>
        <family val="2"/>
      </rPr>
      <t>incl. Schlauchset</t>
    </r>
  </si>
  <si>
    <r>
      <t xml:space="preserve">Kupfer Lochblech RV 5/7 </t>
    </r>
    <r>
      <rPr>
        <sz val="8"/>
        <color theme="1"/>
        <rFont val="Segoe UI"/>
        <family val="2"/>
      </rPr>
      <t>- 46% Lüftungsquerschnitt</t>
    </r>
  </si>
  <si>
    <r>
      <t xml:space="preserve">Uginox Band </t>
    </r>
    <r>
      <rPr>
        <sz val="8"/>
        <color theme="1"/>
        <rFont val="Segoe UI"/>
        <family val="2"/>
      </rPr>
      <t>WST-Nr. 1.4509</t>
    </r>
  </si>
  <si>
    <r>
      <t xml:space="preserve">Uginox Tafelblech </t>
    </r>
    <r>
      <rPr>
        <sz val="8"/>
        <color theme="1"/>
        <rFont val="Segoe UI"/>
        <family val="2"/>
      </rPr>
      <t>WST-Nr. 1.4509</t>
    </r>
  </si>
  <si>
    <r>
      <t xml:space="preserve">Uginox Lochblech RV 5/7 </t>
    </r>
    <r>
      <rPr>
        <sz val="8"/>
        <color theme="1"/>
        <rFont val="Segoe UI"/>
        <family val="2"/>
      </rPr>
      <t>- 46% Lüftungsquerschnitt</t>
    </r>
  </si>
  <si>
    <r>
      <t xml:space="preserve">Aluminium Band </t>
    </r>
    <r>
      <rPr>
        <sz val="8"/>
        <color theme="1"/>
        <rFont val="Segoe UI"/>
        <family val="2"/>
      </rPr>
      <t>99,5% 1/2-hart - Blank</t>
    </r>
  </si>
  <si>
    <r>
      <t xml:space="preserve">Aluminium Tafelblech </t>
    </r>
    <r>
      <rPr>
        <sz val="8"/>
        <color theme="1"/>
        <rFont val="Segoe UI"/>
        <family val="2"/>
      </rPr>
      <t>99,5% 1/2-hart - Blank</t>
    </r>
  </si>
  <si>
    <r>
      <t xml:space="preserve">Aluminium Lochblech RV 5/7 </t>
    </r>
    <r>
      <rPr>
        <sz val="8"/>
        <color theme="1"/>
        <rFont val="Segoe UI"/>
        <family val="2"/>
      </rPr>
      <t>- 46% Lüftungsquerschnitt</t>
    </r>
  </si>
  <si>
    <r>
      <t xml:space="preserve">Aluminium Band eins.beschichtet </t>
    </r>
    <r>
      <rPr>
        <sz val="8"/>
        <color theme="1"/>
        <rFont val="Segoe UI"/>
        <family val="2"/>
      </rPr>
      <t xml:space="preserve"> </t>
    </r>
    <r>
      <rPr>
        <b/>
        <sz val="8"/>
        <color theme="1"/>
        <rFont val="Segoe UI"/>
        <family val="2"/>
      </rPr>
      <t>Kantqualität m. Folie</t>
    </r>
  </si>
  <si>
    <r>
      <t xml:space="preserve">beids.-besch. Aluminium Lochblech RV 5/7 </t>
    </r>
    <r>
      <rPr>
        <sz val="8"/>
        <color theme="1"/>
        <rFont val="Segoe UI"/>
        <family val="2"/>
      </rPr>
      <t>- 46% Lüftungsquerschnitt</t>
    </r>
  </si>
  <si>
    <r>
      <t xml:space="preserve">GRÖMO ALU DUOFALZ - 60 kg Band TX / SX </t>
    </r>
    <r>
      <rPr>
        <b/>
        <sz val="8"/>
        <color theme="1"/>
        <rFont val="Segoe UI"/>
        <family val="2"/>
      </rPr>
      <t>(strukturiert / glatt)</t>
    </r>
  </si>
  <si>
    <r>
      <t xml:space="preserve">GRÖMO ALU DUOFALZ - 500 kg COIL  TX / SX </t>
    </r>
    <r>
      <rPr>
        <b/>
        <sz val="8"/>
        <color theme="1"/>
        <rFont val="Segoe UI"/>
        <family val="2"/>
      </rPr>
      <t>(strukturiert / glatt)</t>
    </r>
  </si>
  <si>
    <r>
      <t>GRÖMO ALU DUOFALZ Tafelblech TX / SX</t>
    </r>
    <r>
      <rPr>
        <b/>
        <sz val="8"/>
        <color theme="1"/>
        <rFont val="Segoe UI"/>
        <family val="2"/>
      </rPr>
      <t xml:space="preserve"> (strukturiert / glatt)</t>
    </r>
  </si>
  <si>
    <r>
      <t xml:space="preserve">Verz. Band - beschichtet </t>
    </r>
    <r>
      <rPr>
        <sz val="8"/>
        <color theme="1"/>
        <rFont val="Segoe UI"/>
        <family val="2"/>
      </rPr>
      <t xml:space="preserve"> - eins. Folie - </t>
    </r>
  </si>
  <si>
    <r>
      <t xml:space="preserve">Verz. Tafelblech - beschichtet </t>
    </r>
    <r>
      <rPr>
        <sz val="8"/>
        <color theme="1"/>
        <rFont val="Segoe UI"/>
        <family val="2"/>
      </rPr>
      <t xml:space="preserve"> - eins. Folie - </t>
    </r>
  </si>
  <si>
    <r>
      <t xml:space="preserve">Rinnenhakennagel </t>
    </r>
    <r>
      <rPr>
        <sz val="8"/>
        <color theme="1"/>
        <rFont val="Segoe UI"/>
        <family val="2"/>
      </rPr>
      <t>geraut</t>
    </r>
  </si>
  <si>
    <r>
      <t xml:space="preserve">Deckstift </t>
    </r>
    <r>
      <rPr>
        <sz val="8"/>
        <color theme="1"/>
        <rFont val="Segoe UI"/>
        <family val="2"/>
      </rPr>
      <t>geraut</t>
    </r>
  </si>
  <si>
    <r>
      <t xml:space="preserve">Paslode Haftennägel </t>
    </r>
    <r>
      <rPr>
        <sz val="8"/>
        <color theme="1"/>
        <rFont val="Segoe UI"/>
        <family val="2"/>
      </rPr>
      <t>rille rostfrei</t>
    </r>
  </si>
  <si>
    <r>
      <t>€/%</t>
    </r>
    <r>
      <rPr>
        <sz val="5"/>
        <color theme="1"/>
        <rFont val="Segoe UI"/>
        <family val="2"/>
      </rPr>
      <t>o</t>
    </r>
    <r>
      <rPr>
        <b/>
        <sz val="8"/>
        <color theme="1"/>
        <rFont val="Segoe UI"/>
        <family val="2"/>
      </rPr>
      <t xml:space="preserve"> Stck.</t>
    </r>
  </si>
  <si>
    <r>
      <t xml:space="preserve">Dichtblindnieten </t>
    </r>
    <r>
      <rPr>
        <sz val="8"/>
        <color theme="1"/>
        <rFont val="Segoe UI"/>
        <family val="2"/>
      </rPr>
      <t>mit Edelstahldorn</t>
    </r>
  </si>
  <si>
    <r>
      <t xml:space="preserve">Isolationsdübel </t>
    </r>
    <r>
      <rPr>
        <b/>
        <sz val="8"/>
        <color theme="1"/>
        <rFont val="Segoe UI"/>
        <family val="2"/>
      </rPr>
      <t>für Gewinderohrschelle (WDVS, Polysterolplatten, Holzfaser, Heraklithplatten)</t>
    </r>
  </si>
  <si>
    <r>
      <t xml:space="preserve">Montageplatte für Rohrschelle M8/10 </t>
    </r>
    <r>
      <rPr>
        <b/>
        <sz val="8"/>
        <color theme="1"/>
        <rFont val="Segoe UI"/>
        <family val="2"/>
      </rPr>
      <t>mit Gewindestift</t>
    </r>
  </si>
  <si>
    <r>
      <t xml:space="preserve">Schneefanglasche </t>
    </r>
    <r>
      <rPr>
        <b/>
        <sz val="8"/>
        <color theme="1"/>
        <rFont val="Segoe UI"/>
        <family val="2"/>
      </rPr>
      <t>zum Anklemmen an den Stehfalz</t>
    </r>
  </si>
  <si>
    <r>
      <t xml:space="preserve">1" Rohr PB </t>
    </r>
    <r>
      <rPr>
        <b/>
        <sz val="8"/>
        <color theme="1"/>
        <rFont val="Segoe UI"/>
        <family val="2"/>
      </rPr>
      <t>Verzinkt-Pulverbeschichtet</t>
    </r>
  </si>
  <si>
    <r>
      <t xml:space="preserve">Eishalter für 1" Rohr </t>
    </r>
    <r>
      <rPr>
        <b/>
        <sz val="8"/>
        <color theme="1"/>
        <rFont val="Segoe UI"/>
        <family val="2"/>
      </rPr>
      <t>mit Haltebügel</t>
    </r>
  </si>
  <si>
    <r>
      <t xml:space="preserve">REES Edelstahl Festpunkthafte </t>
    </r>
    <r>
      <rPr>
        <sz val="8"/>
        <color theme="1"/>
        <rFont val="Segoe UI"/>
        <family val="2"/>
      </rPr>
      <t>abger. Ecken und vertiefte Löcher</t>
    </r>
  </si>
  <si>
    <r>
      <t xml:space="preserve">REES Edelstahl Schiebehafte </t>
    </r>
    <r>
      <rPr>
        <sz val="8"/>
        <color theme="1"/>
        <rFont val="Segoe UI"/>
        <family val="2"/>
      </rPr>
      <t>abger. Ecken und vertiefte Löcher - 2-teilig vormontiert</t>
    </r>
  </si>
  <si>
    <r>
      <t xml:space="preserve">REES Edelstahl Schiebe-Hosenhafte Nr. 1 </t>
    </r>
    <r>
      <rPr>
        <sz val="8"/>
        <color theme="1"/>
        <rFont val="Segoe UI"/>
        <family val="2"/>
      </rPr>
      <t>2-teilig</t>
    </r>
  </si>
  <si>
    <r>
      <t xml:space="preserve">Rundedelstahl Wst.Nr. 1.4021 </t>
    </r>
    <r>
      <rPr>
        <b/>
        <sz val="8"/>
        <color theme="1"/>
        <rFont val="Segoe UI"/>
        <family val="2"/>
      </rPr>
      <t>(Einlage für Rinne mit kleiner Wulst)</t>
    </r>
  </si>
  <si>
    <r>
      <t xml:space="preserve">Lötzinn 40% </t>
    </r>
    <r>
      <rPr>
        <sz val="8"/>
        <color theme="1"/>
        <rFont val="Segoe UI"/>
        <family val="2"/>
      </rPr>
      <t>in Stangen</t>
    </r>
  </si>
  <si>
    <r>
      <t xml:space="preserve">KEMPERTEC MA-SF Metalldachkleber </t>
    </r>
    <r>
      <rPr>
        <sz val="8"/>
        <color theme="1"/>
        <rFont val="Segoe UI"/>
        <family val="2"/>
      </rPr>
      <t>lösemittelfrei</t>
    </r>
  </si>
  <si>
    <r>
      <t>K-Vent</t>
    </r>
    <r>
      <rPr>
        <sz val="8"/>
        <rFont val="Segoe UI"/>
        <family val="2"/>
      </rPr>
      <t xml:space="preserve"> (m. Unterdeckbahn)</t>
    </r>
  </si>
  <si>
    <r>
      <t xml:space="preserve">Schneefanggitter PB </t>
    </r>
    <r>
      <rPr>
        <b/>
        <sz val="8"/>
        <color theme="1"/>
        <rFont val="Segoe UI"/>
        <family val="2"/>
      </rPr>
      <t>Pulverbeschichtet</t>
    </r>
  </si>
  <si>
    <r>
      <t xml:space="preserve">Schneefanggitter Verbindungsmuffe PB </t>
    </r>
    <r>
      <rPr>
        <b/>
        <sz val="8"/>
        <color theme="1"/>
        <rFont val="Segoe UI"/>
        <family val="2"/>
      </rPr>
      <t>Pulverbeschichtet</t>
    </r>
  </si>
  <si>
    <r>
      <t xml:space="preserve">Metalldachplatte "Click17" PB </t>
    </r>
    <r>
      <rPr>
        <b/>
        <sz val="8"/>
        <color theme="1"/>
        <rFont val="Segoe UI"/>
        <family val="2"/>
      </rPr>
      <t>mit Einhängebügel</t>
    </r>
  </si>
  <si>
    <r>
      <t xml:space="preserve">Laufsteghalter "Click17" PB </t>
    </r>
    <r>
      <rPr>
        <b/>
        <sz val="8"/>
        <color theme="1"/>
        <rFont val="Segoe UI"/>
        <family val="2"/>
      </rPr>
      <t>TÜV geprüft/CE konform gem. DIN EN 516-1-A : 2006</t>
    </r>
  </si>
  <si>
    <r>
      <t xml:space="preserve">Schneefangstüzte "easy" PB </t>
    </r>
    <r>
      <rPr>
        <b/>
        <sz val="8"/>
        <color theme="1"/>
        <rFont val="Segoe UI"/>
        <family val="2"/>
      </rPr>
      <t>für Großflächenziegel (ab 460 bis max. 510 mm Ziegellänge)</t>
    </r>
    <r>
      <rPr>
        <b/>
        <sz val="12"/>
        <color theme="1"/>
        <rFont val="Segoe UI"/>
        <family val="2"/>
      </rPr>
      <t xml:space="preserve"> </t>
    </r>
  </si>
  <si>
    <r>
      <t xml:space="preserve">Sicherheitsdachhaken PB zum einhängen 30/6 </t>
    </r>
    <r>
      <rPr>
        <b/>
        <sz val="8"/>
        <color theme="1"/>
        <rFont val="Segoe UI"/>
        <family val="2"/>
      </rPr>
      <t>DIN EN 715 - Typ A</t>
    </r>
  </si>
  <si>
    <r>
      <t xml:space="preserve">Sicherheits-Laufrost PB </t>
    </r>
    <r>
      <rPr>
        <b/>
        <sz val="8"/>
        <color theme="1"/>
        <rFont val="Segoe UI"/>
        <family val="2"/>
      </rPr>
      <t>DIN EN 516 und DIN 18160-5</t>
    </r>
  </si>
  <si>
    <r>
      <t xml:space="preserve">Befestigungsmaterial </t>
    </r>
    <r>
      <rPr>
        <b/>
        <sz val="8"/>
        <color theme="1"/>
        <rFont val="Segoe UI"/>
        <family val="2"/>
      </rPr>
      <t>für Sicherheits-Laufroste</t>
    </r>
  </si>
  <si>
    <r>
      <t xml:space="preserve">Verbindungsstücke </t>
    </r>
    <r>
      <rPr>
        <b/>
        <sz val="8"/>
        <color theme="1"/>
        <rFont val="Segoe UI"/>
        <family val="2"/>
      </rPr>
      <t>für Sicherheits-Laufroste</t>
    </r>
  </si>
  <si>
    <r>
      <t xml:space="preserve">Metalldachfenster PB </t>
    </r>
    <r>
      <rPr>
        <b/>
        <sz val="8"/>
        <color theme="1"/>
        <rFont val="Segoe UI"/>
        <family val="2"/>
      </rPr>
      <t>Pulverbeschichtet - nach oben öffnend</t>
    </r>
  </si>
  <si>
    <r>
      <t xml:space="preserve">Deckzange </t>
    </r>
    <r>
      <rPr>
        <sz val="8"/>
        <color theme="1"/>
        <rFont val="Segoe UI"/>
        <family val="2"/>
      </rPr>
      <t>1-seitig 45° abgeschrägt</t>
    </r>
  </si>
  <si>
    <r>
      <t xml:space="preserve">Winkeldoppelfalzer </t>
    </r>
    <r>
      <rPr>
        <sz val="8"/>
        <color theme="1"/>
        <rFont val="Segoe UI"/>
        <family val="2"/>
      </rPr>
      <t>- vulkanisierte Backen</t>
    </r>
  </si>
  <si>
    <r>
      <t xml:space="preserve">Schonhammer </t>
    </r>
    <r>
      <rPr>
        <sz val="8"/>
        <color theme="1"/>
        <rFont val="Segoe UI"/>
        <family val="2"/>
      </rPr>
      <t>m. Eschenstiel</t>
    </r>
  </si>
  <si>
    <r>
      <t>Supercraft</t>
    </r>
    <r>
      <rPr>
        <b/>
        <sz val="8"/>
        <color theme="1"/>
        <rFont val="Segoe UI"/>
        <family val="2"/>
      </rPr>
      <t xml:space="preserve">   Rückschlagfrei</t>
    </r>
  </si>
  <si>
    <r>
      <t xml:space="preserve">Schlosserhammer </t>
    </r>
    <r>
      <rPr>
        <sz val="8"/>
        <color theme="1"/>
        <rFont val="Segoe UI"/>
        <family val="2"/>
      </rPr>
      <t>m. Hickorystiel</t>
    </r>
  </si>
  <si>
    <r>
      <t xml:space="preserve">Anreißschablone </t>
    </r>
    <r>
      <rPr>
        <sz val="8"/>
        <color theme="1"/>
        <rFont val="Segoe UI"/>
        <family val="2"/>
      </rPr>
      <t>gehärtet rostfrei</t>
    </r>
  </si>
  <si>
    <r>
      <t xml:space="preserve">Rinnenschnur Spezial </t>
    </r>
    <r>
      <rPr>
        <sz val="8"/>
        <color theme="1"/>
        <rFont val="Segoe UI"/>
        <family val="2"/>
      </rPr>
      <t>- extrem reißfest, hart geflochten</t>
    </r>
  </si>
  <si>
    <r>
      <rPr>
        <b/>
        <sz val="12"/>
        <color theme="1"/>
        <rFont val="Segoe UI"/>
        <family val="2"/>
      </rPr>
      <t xml:space="preserve">Lötwasserfläschchen </t>
    </r>
    <r>
      <rPr>
        <sz val="8"/>
        <color theme="1"/>
        <rFont val="Segoe UI"/>
        <family val="2"/>
      </rPr>
      <t xml:space="preserve"> mit Auslaufstopp</t>
    </r>
  </si>
  <si>
    <r>
      <t>33er innen</t>
    </r>
    <r>
      <rPr>
        <sz val="8"/>
        <color theme="1"/>
        <rFont val="Segoe UI"/>
        <family val="2"/>
      </rPr>
      <t xml:space="preserve"> </t>
    </r>
    <r>
      <rPr>
        <b/>
        <u/>
        <sz val="8"/>
        <color theme="1"/>
        <rFont val="Segoe UI"/>
        <family val="2"/>
      </rPr>
      <t>kl. Wulst</t>
    </r>
    <r>
      <rPr>
        <sz val="8"/>
        <color theme="1"/>
        <rFont val="Segoe UI"/>
        <family val="2"/>
      </rPr>
      <t xml:space="preserve">  - gelötet - 500 mm</t>
    </r>
  </si>
  <si>
    <r>
      <t xml:space="preserve">40er innen </t>
    </r>
    <r>
      <rPr>
        <b/>
        <u/>
        <sz val="8"/>
        <color theme="1"/>
        <rFont val="Segoe UI"/>
        <family val="2"/>
      </rPr>
      <t>kl. Wulst</t>
    </r>
    <r>
      <rPr>
        <sz val="8"/>
        <color theme="1"/>
        <rFont val="Segoe UI"/>
        <family val="2"/>
      </rPr>
      <t xml:space="preserve">  - gelötet - 500 mm</t>
    </r>
  </si>
  <si>
    <r>
      <t xml:space="preserve">33er aussen </t>
    </r>
    <r>
      <rPr>
        <b/>
        <u/>
        <sz val="8"/>
        <color theme="1"/>
        <rFont val="Segoe UI"/>
        <family val="2"/>
      </rPr>
      <t>kl. Wulst</t>
    </r>
    <r>
      <rPr>
        <b/>
        <sz val="8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- gelötet - 500 mm</t>
    </r>
  </si>
  <si>
    <r>
      <t xml:space="preserve">40er aussen </t>
    </r>
    <r>
      <rPr>
        <b/>
        <u/>
        <sz val="8"/>
        <color theme="1"/>
        <rFont val="Segoe UI"/>
        <family val="2"/>
      </rPr>
      <t>kl. Wulst</t>
    </r>
    <r>
      <rPr>
        <b/>
        <sz val="8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- gelötet - 500 mm</t>
    </r>
  </si>
  <si>
    <r>
      <t xml:space="preserve">Kupferrinnenwinkel 90° - </t>
    </r>
    <r>
      <rPr>
        <b/>
        <u/>
        <sz val="12"/>
        <color theme="1"/>
        <rFont val="Segoe UI"/>
        <family val="2"/>
      </rPr>
      <t>kleine Wulst</t>
    </r>
  </si>
  <si>
    <r>
      <t xml:space="preserve">33er innen kl. Wulst </t>
    </r>
    <r>
      <rPr>
        <sz val="8"/>
        <color theme="1"/>
        <rFont val="Segoe UI"/>
        <family val="2"/>
      </rPr>
      <t xml:space="preserve"> - gelötet - 500 mm</t>
    </r>
  </si>
  <si>
    <r>
      <t xml:space="preserve">40er innen kl. Wulst  </t>
    </r>
    <r>
      <rPr>
        <sz val="8"/>
        <color theme="1"/>
        <rFont val="Segoe UI"/>
        <family val="2"/>
      </rPr>
      <t>- gelötet - 500 mm</t>
    </r>
  </si>
  <si>
    <r>
      <t xml:space="preserve">Uginox Rinnenwinkel 90° - </t>
    </r>
    <r>
      <rPr>
        <b/>
        <u/>
        <sz val="12"/>
        <color theme="1"/>
        <rFont val="Segoe UI"/>
        <family val="2"/>
      </rPr>
      <t>kleine Wulst</t>
    </r>
    <r>
      <rPr>
        <b/>
        <sz val="12"/>
        <color theme="1"/>
        <rFont val="Segoe UI"/>
        <family val="2"/>
      </rPr>
      <t xml:space="preserve"> - </t>
    </r>
    <r>
      <rPr>
        <b/>
        <sz val="8"/>
        <color theme="1"/>
        <rFont val="Segoe UI"/>
        <family val="2"/>
      </rPr>
      <t xml:space="preserve"> Schenkellänge 300 mm</t>
    </r>
  </si>
  <si>
    <t>1x9 mm</t>
  </si>
  <si>
    <t>Hasl / Heid</t>
  </si>
  <si>
    <t>erledigt</t>
  </si>
  <si>
    <t>x</t>
  </si>
  <si>
    <t>Notiz</t>
  </si>
  <si>
    <t>Zink Ablaufrohr Ø60 (+ Bögen, Rohre, EHS, etc</t>
  </si>
  <si>
    <t>MG</t>
  </si>
  <si>
    <t xml:space="preserve">EK </t>
  </si>
  <si>
    <t>EK-LME</t>
  </si>
  <si>
    <t>-0028</t>
  </si>
  <si>
    <r>
      <t xml:space="preserve">Titanzink Rohrbogen </t>
    </r>
    <r>
      <rPr>
        <b/>
        <sz val="8"/>
        <color theme="1"/>
        <rFont val="Segoe UI"/>
        <family val="2"/>
      </rPr>
      <t>mit Stern</t>
    </r>
  </si>
  <si>
    <r>
      <t xml:space="preserve">Rundholz Fichte/Tanne </t>
    </r>
    <r>
      <rPr>
        <b/>
        <sz val="8"/>
        <color theme="1"/>
        <rFont val="Segoe UI"/>
        <family val="2"/>
      </rPr>
      <t>kesseldruckimprägniert</t>
    </r>
  </si>
  <si>
    <t>Ø 120 mm</t>
  </si>
  <si>
    <t>Rundholz</t>
  </si>
  <si>
    <t>Rödel</t>
  </si>
  <si>
    <t>Alu Tafelblech 2 mm</t>
  </si>
  <si>
    <t>Heid</t>
  </si>
  <si>
    <r>
      <t>Ugi</t>
    </r>
    <r>
      <rPr>
        <b/>
        <sz val="12"/>
        <color theme="1"/>
        <rFont val="Segoe UI"/>
        <family val="2"/>
      </rPr>
      <t>top</t>
    </r>
    <r>
      <rPr>
        <sz val="12"/>
        <color theme="1"/>
        <rFont val="Segoe UI"/>
        <family val="2"/>
      </rPr>
      <t xml:space="preserve"> 670er Band</t>
    </r>
  </si>
  <si>
    <r>
      <t xml:space="preserve">Aktuelle </t>
    </r>
    <r>
      <rPr>
        <b/>
        <sz val="12"/>
        <rFont val="Segoe UI"/>
        <family val="2"/>
      </rPr>
      <t>MK - LME Notierung 
(Wurzer Profile)</t>
    </r>
  </si>
  <si>
    <r>
      <t xml:space="preserve">Edelstahl Band - Blank </t>
    </r>
    <r>
      <rPr>
        <sz val="8"/>
        <color theme="1"/>
        <rFont val="Segoe UI"/>
        <family val="2"/>
      </rPr>
      <t>Wst. 1.4301/2B (V2A)</t>
    </r>
  </si>
  <si>
    <r>
      <t xml:space="preserve">Edelstahl Tafelblech - Blank </t>
    </r>
    <r>
      <rPr>
        <sz val="8"/>
        <color theme="1"/>
        <rFont val="Segoe UI"/>
        <family val="2"/>
      </rPr>
      <t>Wst. 1.4301/2B (V2A)</t>
    </r>
  </si>
  <si>
    <r>
      <t xml:space="preserve">V4A Edelstahl Band - Blank </t>
    </r>
    <r>
      <rPr>
        <sz val="8"/>
        <color theme="1"/>
        <rFont val="Segoe UI"/>
        <family val="2"/>
      </rPr>
      <t xml:space="preserve">WST 1.4404 </t>
    </r>
  </si>
  <si>
    <t>8,8 - 12/21</t>
  </si>
  <si>
    <t>Durchlaufschere lackiert</t>
  </si>
  <si>
    <t>Uginox Reduzierung</t>
  </si>
  <si>
    <r>
      <t xml:space="preserve">Titanzink Wasserfangkasten </t>
    </r>
    <r>
      <rPr>
        <b/>
        <sz val="8"/>
        <color theme="1"/>
        <rFont val="Segoe UI"/>
        <family val="2"/>
      </rPr>
      <t xml:space="preserve"> - lang mit Stern</t>
    </r>
  </si>
  <si>
    <t>L-Nr.</t>
  </si>
  <si>
    <t>282151VU</t>
  </si>
  <si>
    <t>282415VU</t>
  </si>
  <si>
    <t>Rundlochschere</t>
  </si>
  <si>
    <t>33 mtr.</t>
  </si>
  <si>
    <t>37 mtr.</t>
  </si>
  <si>
    <r>
      <t xml:space="preserve">UgiTOP Band 304 </t>
    </r>
    <r>
      <rPr>
        <sz val="8"/>
        <color theme="1"/>
        <rFont val="Segoe UI"/>
        <family val="2"/>
      </rPr>
      <t>Wst. 1.4301</t>
    </r>
  </si>
  <si>
    <r>
      <t xml:space="preserve">V4A UgiTOP Band 316 </t>
    </r>
    <r>
      <rPr>
        <sz val="8"/>
        <color theme="1"/>
        <rFont val="Segoe UI"/>
        <family val="2"/>
      </rPr>
      <t xml:space="preserve">Wst. 1.4404 </t>
    </r>
    <r>
      <rPr>
        <b/>
        <u/>
        <sz val="8"/>
        <color theme="1"/>
        <rFont val="Segoe UI"/>
        <family val="2"/>
      </rPr>
      <t>(zugelassen für Sockelbleche !)</t>
    </r>
  </si>
  <si>
    <t>EK &gt;901</t>
  </si>
  <si>
    <t>EK&gt;1101</t>
  </si>
  <si>
    <t>EK&gt;1201</t>
  </si>
  <si>
    <t>EK &gt;1001</t>
  </si>
  <si>
    <t>EK&gt;1301</t>
  </si>
  <si>
    <t>Zink-Nickel</t>
  </si>
  <si>
    <t xml:space="preserve">  80/  80</t>
  </si>
  <si>
    <t xml:space="preserve">Flachdachpfanne </t>
  </si>
  <si>
    <t>Tegalit</t>
  </si>
  <si>
    <t>Aufdachmodulhalter</t>
  </si>
  <si>
    <r>
      <t xml:space="preserve">Aufdachmodulhalter (7300) PB </t>
    </r>
    <r>
      <rPr>
        <b/>
        <sz val="8"/>
        <color theme="1"/>
        <rFont val="Segoe UI"/>
        <family val="2"/>
      </rPr>
      <t>auf Metallplatte genietet, komplett mit Lattenschiene 400 mm</t>
    </r>
  </si>
  <si>
    <t>Edelstahl Laubsieb</t>
  </si>
  <si>
    <t>Kupfer Standrohrkappen DN 120</t>
  </si>
  <si>
    <t>Quellfix</t>
  </si>
  <si>
    <t>25 mm breit</t>
  </si>
  <si>
    <t>6 mtr.</t>
  </si>
  <si>
    <r>
      <t xml:space="preserve">Nahteinlage Nanofil </t>
    </r>
    <r>
      <rPr>
        <sz val="8"/>
        <color theme="1"/>
        <rFont val="Segoe UI"/>
        <family val="2"/>
      </rPr>
      <t>zum verkleben von Rinnenstöße</t>
    </r>
  </si>
  <si>
    <r>
      <t xml:space="preserve">Wulstausbeuler </t>
    </r>
    <r>
      <rPr>
        <sz val="8"/>
        <color theme="1"/>
        <rFont val="Segoe UI"/>
        <family val="2"/>
      </rPr>
      <t>für alle gängigen Dachrinnenwulst (gr.Wulst)</t>
    </r>
  </si>
  <si>
    <t>230 x 18 x 115 mm</t>
  </si>
  <si>
    <t>290 g</t>
  </si>
  <si>
    <t>Montageeisen "Modell Rauscher"</t>
  </si>
  <si>
    <t>33/6-teilig</t>
  </si>
  <si>
    <r>
      <t xml:space="preserve">Rinnennaht-Zwinge </t>
    </r>
    <r>
      <rPr>
        <b/>
        <sz val="8"/>
        <color theme="1"/>
        <rFont val="Segoe UI"/>
        <family val="2"/>
      </rPr>
      <t>mit geweglicher Backe</t>
    </r>
  </si>
  <si>
    <t>vernickelt</t>
  </si>
  <si>
    <t>250 x 60 x 40 mm</t>
  </si>
  <si>
    <t>450 g</t>
  </si>
  <si>
    <r>
      <t xml:space="preserve">Blechknabber BK1/II </t>
    </r>
    <r>
      <rPr>
        <b/>
        <sz val="8"/>
        <color theme="1"/>
        <rFont val="Segoe UI"/>
        <family val="2"/>
      </rPr>
      <t>für Stahlblech bis 0,7 mm</t>
    </r>
  </si>
  <si>
    <t>TEGALIT</t>
  </si>
  <si>
    <t>Stockschrauben-Eindreheraufsatz M10</t>
  </si>
  <si>
    <t>M10</t>
  </si>
  <si>
    <t>2K-Heft</t>
  </si>
  <si>
    <t>Ösenschrauben-Bit</t>
  </si>
  <si>
    <r>
      <t xml:space="preserve">Ösenschraubendreher </t>
    </r>
    <r>
      <rPr>
        <sz val="8"/>
        <color theme="1"/>
        <rFont val="Segoe UI"/>
        <family val="2"/>
      </rPr>
      <t>BIT und Griff einzeln oder komplett erhältlich</t>
    </r>
    <r>
      <rPr>
        <b/>
        <sz val="12"/>
        <color theme="1"/>
        <rFont val="Segoe UI"/>
        <family val="2"/>
      </rPr>
      <t xml:space="preserve"> </t>
    </r>
    <r>
      <rPr>
        <sz val="8"/>
        <color theme="1"/>
        <rFont val="Segoe UI"/>
        <family val="2"/>
      </rPr>
      <t>!!</t>
    </r>
  </si>
  <si>
    <t>Blechknabber BK1/II (M.A.S.C.)</t>
  </si>
  <si>
    <t>Montageeisen "Modell Rauscher" (M.A.S.C.)</t>
  </si>
  <si>
    <t>Ösenschraubendreher-Set (M.A.S.C.)</t>
  </si>
  <si>
    <t>Rinnennaht-Zwinge mit bew. Backe (M.A.S.C.)</t>
  </si>
  <si>
    <t>Stockschrauben Eindrehaufsatz (M.A.S.C.)</t>
  </si>
  <si>
    <t>Wulstausbeuler (M.A.S.C.)</t>
  </si>
  <si>
    <t>Handhalter-Griff</t>
  </si>
  <si>
    <t>Falzeinlage EPDM</t>
  </si>
  <si>
    <t>22 mm</t>
  </si>
  <si>
    <t>Rolle á 20 mtr.</t>
  </si>
  <si>
    <t>Falzdichtband/ -einlage/ - Öl</t>
  </si>
  <si>
    <t>vormals 100</t>
  </si>
  <si>
    <t>vormals 115</t>
  </si>
  <si>
    <t>€/Gebinde</t>
  </si>
  <si>
    <r>
      <t xml:space="preserve">Uginox KAHO-Rohrlaubfänger </t>
    </r>
    <r>
      <rPr>
        <b/>
        <sz val="8"/>
        <color theme="1"/>
        <rFont val="Segoe UI"/>
        <family val="2"/>
      </rPr>
      <t>Baulänge: 600 mm incl. V2A Laubkorb</t>
    </r>
  </si>
  <si>
    <t>AUSLAUFARTIKEL</t>
  </si>
  <si>
    <t>Rolafix-Mini / KAHO Lauffangvorrichtung</t>
  </si>
  <si>
    <t>LORO-Polybit</t>
  </si>
  <si>
    <r>
      <t xml:space="preserve">LORO-X Regenstandrohr </t>
    </r>
    <r>
      <rPr>
        <b/>
        <sz val="8"/>
        <color theme="1"/>
        <rFont val="Segoe UI"/>
        <family val="2"/>
      </rPr>
      <t>Stahl verzinkt</t>
    </r>
  </si>
  <si>
    <t>DN</t>
  </si>
  <si>
    <t>2000 mm</t>
  </si>
  <si>
    <t>mit Reinigungsklappe</t>
  </si>
  <si>
    <t>OHNE Reinigungsklappe</t>
  </si>
  <si>
    <t>Artikel</t>
  </si>
  <si>
    <t>05510.100X</t>
  </si>
  <si>
    <t>05520.100X</t>
  </si>
  <si>
    <t>05526.100X</t>
  </si>
  <si>
    <t>MIT Muffe</t>
  </si>
  <si>
    <r>
      <t xml:space="preserve">LORO-X Rohr </t>
    </r>
    <r>
      <rPr>
        <b/>
        <sz val="8"/>
        <color theme="1"/>
        <rFont val="Segoe UI"/>
        <family val="2"/>
      </rPr>
      <t>Stahl verzinkt</t>
    </r>
  </si>
  <si>
    <t>01001.100X</t>
  </si>
  <si>
    <t>01101.100X</t>
  </si>
  <si>
    <r>
      <t xml:space="preserve">LORO-X Rohrbogen </t>
    </r>
    <r>
      <rPr>
        <b/>
        <sz val="8"/>
        <color theme="1"/>
        <rFont val="Segoe UI"/>
        <family val="2"/>
      </rPr>
      <t>Stahl verzinkt</t>
    </r>
  </si>
  <si>
    <t>Grad</t>
  </si>
  <si>
    <t>87°</t>
  </si>
  <si>
    <t>00300.100X</t>
  </si>
  <si>
    <t>00320.100X</t>
  </si>
  <si>
    <r>
      <t xml:space="preserve">LORO-X Rohr Anschlussstück </t>
    </r>
    <r>
      <rPr>
        <b/>
        <sz val="8"/>
        <color theme="1"/>
        <rFont val="Segoe UI"/>
        <family val="2"/>
      </rPr>
      <t>Stahl verzinkt</t>
    </r>
  </si>
  <si>
    <t>00630.100X</t>
  </si>
  <si>
    <t>an SML + KA-Muffe</t>
  </si>
  <si>
    <t>LORO-X Dichtelement</t>
  </si>
  <si>
    <t>an KA-Muffe</t>
  </si>
  <si>
    <t>00911.100X</t>
  </si>
  <si>
    <t>00937.100X</t>
  </si>
  <si>
    <r>
      <t xml:space="preserve">LORO-X Rohrschelle </t>
    </r>
    <r>
      <rPr>
        <b/>
        <sz val="8"/>
        <color theme="1"/>
        <rFont val="Segoe UI"/>
        <family val="2"/>
      </rPr>
      <t>mit Anschlussgewinde M10/12</t>
    </r>
  </si>
  <si>
    <t>mit Schalldämmung</t>
  </si>
  <si>
    <t>00974.100X</t>
  </si>
  <si>
    <t>00975.100X</t>
  </si>
  <si>
    <r>
      <t xml:space="preserve">LORO-X CV-Verbinder </t>
    </r>
    <r>
      <rPr>
        <b/>
        <sz val="8"/>
        <color theme="1"/>
        <rFont val="Segoe UI"/>
        <family val="2"/>
      </rPr>
      <t>Stahl verzinkt</t>
    </r>
  </si>
  <si>
    <t>100/110</t>
  </si>
  <si>
    <t>09070.100X</t>
  </si>
  <si>
    <t>LORO-X Gleitmittel</t>
  </si>
  <si>
    <t>250 g-Tube</t>
  </si>
  <si>
    <t>00986.000X</t>
  </si>
  <si>
    <r>
      <t xml:space="preserve">LORO-X Wasserspeier </t>
    </r>
    <r>
      <rPr>
        <b/>
        <sz val="8"/>
        <color theme="1"/>
        <rFont val="Segoe UI"/>
        <family val="2"/>
      </rPr>
      <t>mit Klebeflansch</t>
    </r>
  </si>
  <si>
    <t>15217.050X</t>
  </si>
  <si>
    <t>15217.070X</t>
  </si>
  <si>
    <t>15217.100X</t>
  </si>
  <si>
    <t>15072.050X</t>
  </si>
  <si>
    <t>15072.070X</t>
  </si>
  <si>
    <t>15072.100X</t>
  </si>
  <si>
    <r>
      <t xml:space="preserve">LORO-X Siebkorb klein </t>
    </r>
    <r>
      <rPr>
        <b/>
        <sz val="8"/>
        <color theme="1"/>
        <rFont val="Segoe UI"/>
        <family val="2"/>
      </rPr>
      <t>für Langmuffe</t>
    </r>
  </si>
  <si>
    <t>Klein - für Langmuffe</t>
  </si>
  <si>
    <t>LORO-X Rohre</t>
  </si>
  <si>
    <t>LORO-X Bogen</t>
  </si>
  <si>
    <t>LORO-X Anschlussstück</t>
  </si>
  <si>
    <t>LORO-X Rohrschelle</t>
  </si>
  <si>
    <t>LORO-X CV-Verbinder</t>
  </si>
  <si>
    <t>LORO-X Wasserspeier</t>
  </si>
  <si>
    <t>LORO-X Sieb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</si>
</sst>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"/>
    <numFmt numFmtId="166" formatCode="0.000"/>
    <numFmt numFmtId="167" formatCode="0.0%"/>
  </numFmts>
  <fonts count="69" x14ac:knownFonts="1">
    <font>
      <sz val="12"/>
      <color theme="1"/>
      <name val="Century Gothic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Segoe UI"/>
      <family val="2"/>
    </font>
    <font>
      <sz val="12"/>
      <color theme="1"/>
      <name val="Century Gothic"/>
      <family val="2"/>
    </font>
    <font>
      <u/>
      <sz val="12"/>
      <color theme="10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Segoe UI"/>
      <family val="2"/>
    </font>
    <font>
      <sz val="12"/>
      <color theme="1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sz val="12"/>
      <name val="Segoe UI"/>
      <family val="2"/>
    </font>
    <font>
      <b/>
      <sz val="12"/>
      <color theme="1"/>
      <name val="Segoe UI"/>
      <family val="2"/>
    </font>
    <font>
      <b/>
      <sz val="10"/>
      <name val="Segoe UI"/>
      <family val="2"/>
    </font>
    <font>
      <sz val="8"/>
      <name val="Segoe UI"/>
      <family val="2"/>
    </font>
    <font>
      <b/>
      <u/>
      <sz val="12"/>
      <name val="Segoe UI"/>
      <family val="2"/>
    </font>
    <font>
      <u/>
      <sz val="12"/>
      <color theme="10"/>
      <name val="Segoe UI"/>
      <family val="2"/>
    </font>
    <font>
      <b/>
      <sz val="8"/>
      <color rgb="FFFF0000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8"/>
      <color rgb="FF00B050"/>
      <name val="Segoe UI"/>
      <family val="2"/>
    </font>
    <font>
      <b/>
      <sz val="8"/>
      <name val="Segoe UI"/>
      <family val="2"/>
    </font>
    <font>
      <b/>
      <sz val="20"/>
      <color rgb="FFFF0000"/>
      <name val="Segoe UI"/>
      <family val="2"/>
    </font>
    <font>
      <sz val="8"/>
      <color theme="0"/>
      <name val="Segoe UI"/>
      <family val="2"/>
    </font>
    <font>
      <sz val="8"/>
      <color rgb="FF00B050"/>
      <name val="Segoe UI"/>
      <family val="2"/>
    </font>
    <font>
      <b/>
      <sz val="10"/>
      <color theme="1"/>
      <name val="Segoe UI"/>
      <family val="2"/>
    </font>
    <font>
      <sz val="8"/>
      <color rgb="FFFF0000"/>
      <name val="Segoe UI"/>
      <family val="2"/>
    </font>
    <font>
      <b/>
      <sz val="8"/>
      <color theme="0"/>
      <name val="Segoe UI"/>
      <family val="2"/>
    </font>
    <font>
      <i/>
      <sz val="8"/>
      <name val="Segoe UI"/>
      <family val="2"/>
    </font>
    <font>
      <sz val="12"/>
      <color rgb="FF00B050"/>
      <name val="Segoe UI"/>
      <family val="2"/>
    </font>
    <font>
      <i/>
      <sz val="12"/>
      <color theme="1"/>
      <name val="Segoe UI"/>
      <family val="2"/>
    </font>
    <font>
      <i/>
      <sz val="8"/>
      <color theme="1"/>
      <name val="Segoe UI"/>
      <family val="2"/>
    </font>
    <font>
      <i/>
      <sz val="8"/>
      <color rgb="FF00B050"/>
      <name val="Segoe UI"/>
      <family val="2"/>
    </font>
    <font>
      <sz val="12"/>
      <color rgb="FFFF0000"/>
      <name val="Segoe UI"/>
      <family val="2"/>
    </font>
    <font>
      <sz val="9"/>
      <color theme="1" tint="0.34998626667073579"/>
      <name val="Segoe UI"/>
      <family val="2"/>
    </font>
    <font>
      <b/>
      <sz val="22"/>
      <color theme="1"/>
      <name val="Segoe UI"/>
      <family val="2"/>
    </font>
    <font>
      <sz val="22"/>
      <color theme="1"/>
      <name val="Segoe UI"/>
      <family val="2"/>
    </font>
    <font>
      <b/>
      <u/>
      <sz val="10"/>
      <color theme="1"/>
      <name val="Segoe UI"/>
      <family val="2"/>
    </font>
    <font>
      <b/>
      <u/>
      <sz val="8"/>
      <color theme="1"/>
      <name val="Segoe UI"/>
      <family val="2"/>
    </font>
    <font>
      <sz val="6"/>
      <color theme="1"/>
      <name val="Segoe UI"/>
      <family val="2"/>
    </font>
    <font>
      <b/>
      <sz val="12"/>
      <color theme="9"/>
      <name val="Segoe UI"/>
      <family val="2"/>
    </font>
    <font>
      <sz val="12"/>
      <color theme="9"/>
      <name val="Segoe UI"/>
      <family val="2"/>
    </font>
    <font>
      <b/>
      <sz val="8"/>
      <color theme="9"/>
      <name val="Segoe UI"/>
      <family val="2"/>
    </font>
    <font>
      <b/>
      <sz val="20"/>
      <color theme="9"/>
      <name val="Segoe UI"/>
      <family val="2"/>
    </font>
    <font>
      <sz val="5"/>
      <color theme="1"/>
      <name val="Segoe UI"/>
      <family val="2"/>
    </font>
    <font>
      <sz val="10"/>
      <color theme="1"/>
      <name val="Segoe UI"/>
      <family val="2"/>
    </font>
    <font>
      <u/>
      <sz val="8"/>
      <name val="Segoe UI"/>
      <family val="2"/>
    </font>
    <font>
      <b/>
      <u/>
      <sz val="12"/>
      <color theme="1"/>
      <name val="Segoe UI"/>
      <family val="2"/>
    </font>
    <font>
      <sz val="8"/>
      <name val="Century Gothic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8"/>
      <color theme="9"/>
      <name val="Segoe UI"/>
      <family val="2"/>
    </font>
    <font>
      <strike/>
      <sz val="12"/>
      <color theme="1"/>
      <name val="Segoe UI"/>
      <family val="2"/>
    </font>
    <font>
      <b/>
      <sz val="8"/>
      <color theme="4"/>
      <name val="Segoe UI"/>
      <family val="2"/>
    </font>
    <font>
      <b/>
      <sz val="20"/>
      <color theme="4"/>
      <name val="Segoe UI"/>
      <family val="2"/>
    </font>
    <font>
      <sz val="12"/>
      <color theme="4"/>
      <name val="Segoe UI"/>
      <family val="2"/>
    </font>
    <font>
      <b/>
      <sz val="12"/>
      <color theme="4"/>
      <name val="Segoe UI"/>
      <family val="2"/>
    </font>
    <font>
      <sz val="8"/>
      <color theme="4"/>
      <name val="Segoe UI"/>
      <family val="2"/>
    </font>
    <font>
      <b/>
      <i/>
      <sz val="6"/>
      <color theme="1"/>
      <name val="Segoe UI"/>
      <family val="2"/>
    </font>
    <font>
      <sz val="12"/>
      <color theme="4"/>
      <name val="Century Gothic"/>
      <family val="2"/>
    </font>
    <font>
      <sz val="9"/>
      <color theme="1" tint="0.34998626667073579"/>
      <name val="Century Gothic"/>
      <family val="2"/>
    </font>
    <font>
      <i/>
      <sz val="8"/>
      <color theme="4"/>
      <name val="Segoe UI"/>
      <family val="2"/>
    </font>
    <font>
      <b/>
      <sz val="8"/>
      <color rgb="FF0070C0"/>
      <name val="Segoe UI"/>
      <family val="2"/>
    </font>
    <font>
      <i/>
      <sz val="8"/>
      <color theme="0" tint="-0.499984740745262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462">
    <xf numFmtId="0" fontId="0" fillId="0" borderId="0" xfId="0"/>
    <xf numFmtId="0" fontId="13" fillId="0" borderId="0" xfId="0" applyFont="1"/>
    <xf numFmtId="0" fontId="15" fillId="0" borderId="2" xfId="3" applyFont="1" applyBorder="1" applyProtection="1"/>
    <xf numFmtId="0" fontId="15" fillId="0" borderId="0" xfId="3" applyFont="1" applyBorder="1" applyProtection="1"/>
    <xf numFmtId="0" fontId="15" fillId="0" borderId="2" xfId="3" applyFont="1" applyFill="1" applyBorder="1" applyProtection="1"/>
    <xf numFmtId="0" fontId="15" fillId="0" borderId="0" xfId="3" applyFont="1" applyProtection="1"/>
    <xf numFmtId="0" fontId="15" fillId="0" borderId="2" xfId="3" quotePrefix="1" applyFont="1" applyBorder="1" applyProtection="1"/>
    <xf numFmtId="0" fontId="15" fillId="0" borderId="0" xfId="3" applyFont="1" applyFill="1" applyProtection="1"/>
    <xf numFmtId="0" fontId="15" fillId="0" borderId="2" xfId="3" applyFont="1" applyFill="1" applyBorder="1" applyAlignment="1" applyProtection="1">
      <alignment vertical="center"/>
    </xf>
    <xf numFmtId="0" fontId="17" fillId="0" borderId="0" xfId="0" applyFont="1"/>
    <xf numFmtId="9" fontId="17" fillId="0" borderId="0" xfId="2" applyFont="1" applyBorder="1" applyProtection="1">
      <protection locked="0"/>
    </xf>
    <xf numFmtId="0" fontId="15" fillId="0" borderId="0" xfId="3" applyFont="1" applyFill="1" applyBorder="1" applyProtection="1"/>
    <xf numFmtId="9" fontId="17" fillId="0" borderId="0" xfId="2" applyFont="1" applyFill="1" applyBorder="1" applyProtection="1">
      <protection locked="0"/>
    </xf>
    <xf numFmtId="0" fontId="15" fillId="0" borderId="0" xfId="3" quotePrefix="1" applyFont="1" applyBorder="1" applyProtection="1"/>
    <xf numFmtId="0" fontId="13" fillId="0" borderId="2" xfId="0" applyFont="1" applyBorder="1"/>
    <xf numFmtId="0" fontId="21" fillId="0" borderId="0" xfId="3" applyFont="1" applyFill="1" applyProtection="1"/>
    <xf numFmtId="0" fontId="21" fillId="0" borderId="0" xfId="3" applyFont="1" applyProtection="1"/>
    <xf numFmtId="0" fontId="1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22" fillId="0" borderId="0" xfId="0" applyFont="1" applyAlignment="1">
      <alignment horizontal="right" vertical="center"/>
    </xf>
    <xf numFmtId="165" fontId="2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right" vertical="center" wrapText="1"/>
    </xf>
    <xf numFmtId="0" fontId="26" fillId="0" borderId="1" xfId="0" applyFont="1" applyBorder="1" applyAlignment="1">
      <alignment horizontal="right" vertical="center" wrapText="1"/>
    </xf>
    <xf numFmtId="165" fontId="27" fillId="0" borderId="0" xfId="0" applyNumberFormat="1" applyFont="1" applyAlignment="1">
      <alignment horizontal="center" vertical="center"/>
    </xf>
    <xf numFmtId="9" fontId="27" fillId="0" borderId="3" xfId="2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23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166" fontId="28" fillId="0" borderId="1" xfId="0" applyNumberFormat="1" applyFont="1" applyBorder="1" applyAlignment="1">
      <alignment horizontal="right" vertical="center"/>
    </xf>
    <xf numFmtId="166" fontId="28" fillId="0" borderId="1" xfId="0" applyNumberFormat="1" applyFont="1" applyBorder="1" applyAlignment="1">
      <alignment vertical="center"/>
    </xf>
    <xf numFmtId="0" fontId="23" fillId="0" borderId="0" xfId="0" applyFont="1" applyAlignment="1">
      <alignment horizontal="center" vertical="center"/>
    </xf>
    <xf numFmtId="9" fontId="23" fillId="0" borderId="0" xfId="2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" xfId="2" applyFont="1" applyFill="1" applyBorder="1" applyAlignment="1">
      <alignment vertical="center"/>
    </xf>
    <xf numFmtId="167" fontId="28" fillId="0" borderId="1" xfId="2" applyNumberFormat="1" applyFont="1" applyFill="1" applyBorder="1" applyAlignment="1">
      <alignment vertical="center"/>
    </xf>
    <xf numFmtId="1" fontId="23" fillId="0" borderId="0" xfId="0" applyNumberFormat="1" applyFont="1" applyAlignment="1">
      <alignment horizontal="right" vertical="center"/>
    </xf>
    <xf numFmtId="2" fontId="29" fillId="0" borderId="1" xfId="0" applyNumberFormat="1" applyFont="1" applyBorder="1" applyAlignment="1">
      <alignment vertical="center"/>
    </xf>
    <xf numFmtId="2" fontId="24" fillId="0" borderId="1" xfId="0" applyNumberFormat="1" applyFont="1" applyBorder="1" applyAlignment="1">
      <alignment vertical="center"/>
    </xf>
    <xf numFmtId="2" fontId="19" fillId="0" borderId="1" xfId="0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1" fontId="26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9" fontId="24" fillId="0" borderId="0" xfId="2" applyFont="1" applyFill="1" applyAlignment="1">
      <alignment vertical="center"/>
    </xf>
    <xf numFmtId="164" fontId="24" fillId="0" borderId="0" xfId="1" applyFont="1" applyFill="1" applyAlignment="1">
      <alignment vertical="center"/>
    </xf>
    <xf numFmtId="0" fontId="30" fillId="0" borderId="0" xfId="0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23" fillId="0" borderId="2" xfId="0" applyFont="1" applyBorder="1" applyAlignment="1">
      <alignment vertical="center"/>
    </xf>
    <xf numFmtId="166" fontId="28" fillId="0" borderId="2" xfId="0" applyNumberFormat="1" applyFont="1" applyBorder="1" applyAlignment="1">
      <alignment horizontal="right" vertical="center"/>
    </xf>
    <xf numFmtId="9" fontId="28" fillId="0" borderId="2" xfId="2" applyFont="1" applyFill="1" applyBorder="1" applyAlignment="1">
      <alignment vertical="center"/>
    </xf>
    <xf numFmtId="165" fontId="26" fillId="0" borderId="0" xfId="0" applyNumberFormat="1" applyFont="1" applyAlignment="1">
      <alignment horizontal="left" vertical="center"/>
    </xf>
    <xf numFmtId="165" fontId="23" fillId="0" borderId="0" xfId="0" applyNumberFormat="1" applyFont="1" applyAlignment="1">
      <alignment horizontal="right" vertical="center"/>
    </xf>
    <xf numFmtId="165" fontId="23" fillId="0" borderId="0" xfId="0" applyNumberFormat="1" applyFont="1" applyAlignment="1">
      <alignment horizontal="center" vertical="center"/>
    </xf>
    <xf numFmtId="2" fontId="24" fillId="0" borderId="2" xfId="0" applyNumberFormat="1" applyFont="1" applyBorder="1" applyAlignment="1">
      <alignment vertical="center"/>
    </xf>
    <xf numFmtId="165" fontId="23" fillId="0" borderId="0" xfId="0" applyNumberFormat="1" applyFont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1" fontId="23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left" vertical="center"/>
    </xf>
    <xf numFmtId="1" fontId="23" fillId="0" borderId="2" xfId="0" applyNumberFormat="1" applyFont="1" applyBorder="1" applyAlignment="1">
      <alignment horizontal="left" vertical="center"/>
    </xf>
    <xf numFmtId="1" fontId="23" fillId="0" borderId="1" xfId="0" applyNumberFormat="1" applyFont="1" applyBorder="1" applyAlignment="1">
      <alignment horizontal="left" vertical="center"/>
    </xf>
    <xf numFmtId="0" fontId="23" fillId="0" borderId="0" xfId="0" applyFont="1" applyAlignment="1">
      <alignment horizontal="right" vertical="center" wrapText="1"/>
    </xf>
    <xf numFmtId="1" fontId="23" fillId="0" borderId="2" xfId="0" applyNumberFormat="1" applyFont="1" applyBorder="1" applyAlignment="1">
      <alignment horizontal="right" vertical="center"/>
    </xf>
    <xf numFmtId="1" fontId="23" fillId="0" borderId="1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2" fontId="23" fillId="0" borderId="1" xfId="0" applyNumberFormat="1" applyFont="1" applyBorder="1" applyAlignment="1">
      <alignment vertical="center"/>
    </xf>
    <xf numFmtId="2" fontId="31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2" xfId="0" applyFont="1" applyBorder="1" applyAlignment="1">
      <alignment vertical="center"/>
    </xf>
    <xf numFmtId="2" fontId="25" fillId="0" borderId="1" xfId="0" applyNumberFormat="1" applyFont="1" applyBorder="1" applyAlignment="1">
      <alignment vertical="center"/>
    </xf>
    <xf numFmtId="0" fontId="29" fillId="0" borderId="0" xfId="0" applyFont="1" applyAlignment="1">
      <alignment vertical="center"/>
    </xf>
    <xf numFmtId="2" fontId="23" fillId="0" borderId="0" xfId="0" applyNumberFormat="1" applyFont="1" applyAlignment="1">
      <alignment vertical="center"/>
    </xf>
    <xf numFmtId="9" fontId="31" fillId="0" borderId="0" xfId="2" applyFont="1" applyFill="1" applyBorder="1" applyAlignment="1">
      <alignment vertical="center"/>
    </xf>
    <xf numFmtId="9" fontId="31" fillId="0" borderId="0" xfId="2" applyFont="1" applyFill="1" applyBorder="1" applyAlignment="1">
      <alignment horizontal="left" vertical="center"/>
    </xf>
    <xf numFmtId="1" fontId="23" fillId="0" borderId="1" xfId="0" applyNumberFormat="1" applyFont="1" applyBorder="1" applyAlignment="1">
      <alignment vertical="center"/>
    </xf>
    <xf numFmtId="9" fontId="32" fillId="0" borderId="1" xfId="2" applyFont="1" applyFill="1" applyBorder="1" applyAlignment="1">
      <alignment horizontal="center" vertical="center" wrapText="1"/>
    </xf>
    <xf numFmtId="9" fontId="32" fillId="0" borderId="1" xfId="2" applyFont="1" applyFill="1" applyBorder="1" applyAlignment="1">
      <alignment horizontal="center" vertical="center"/>
    </xf>
    <xf numFmtId="9" fontId="32" fillId="0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2" fontId="26" fillId="0" borderId="1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9" fontId="19" fillId="0" borderId="6" xfId="2" applyFont="1" applyFill="1" applyBorder="1" applyAlignment="1">
      <alignment vertical="center"/>
    </xf>
    <xf numFmtId="2" fontId="19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9" fontId="19" fillId="0" borderId="0" xfId="2" applyFont="1" applyFill="1" applyBorder="1" applyAlignment="1">
      <alignment vertical="center"/>
    </xf>
    <xf numFmtId="9" fontId="26" fillId="0" borderId="0" xfId="2" applyFont="1" applyFill="1" applyAlignment="1">
      <alignment vertical="center"/>
    </xf>
    <xf numFmtId="2" fontId="23" fillId="0" borderId="2" xfId="0" applyNumberFormat="1" applyFont="1" applyBorder="1" applyAlignment="1">
      <alignment vertical="center"/>
    </xf>
    <xf numFmtId="9" fontId="24" fillId="0" borderId="0" xfId="2" applyFont="1" applyFill="1" applyAlignment="1">
      <alignment horizontal="left" vertical="center"/>
    </xf>
    <xf numFmtId="2" fontId="25" fillId="0" borderId="0" xfId="0" applyNumberFormat="1" applyFont="1" applyAlignment="1">
      <alignment vertical="center"/>
    </xf>
    <xf numFmtId="2" fontId="25" fillId="0" borderId="2" xfId="0" applyNumberFormat="1" applyFont="1" applyBorder="1" applyAlignment="1">
      <alignment vertical="center"/>
    </xf>
    <xf numFmtId="0" fontId="33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2" fontId="33" fillId="0" borderId="0" xfId="0" applyNumberFormat="1" applyFont="1" applyAlignment="1">
      <alignment vertical="center"/>
    </xf>
    <xf numFmtId="0" fontId="24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26" fillId="0" borderId="2" xfId="0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2" fontId="24" fillId="0" borderId="0" xfId="0" applyNumberFormat="1" applyFont="1" applyAlignment="1">
      <alignment horizontal="center" vertical="center"/>
    </xf>
    <xf numFmtId="2" fontId="26" fillId="0" borderId="2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2" fontId="13" fillId="0" borderId="0" xfId="0" applyNumberFormat="1" applyFont="1" applyAlignment="1">
      <alignment horizontal="right" vertical="center"/>
    </xf>
    <xf numFmtId="2" fontId="35" fillId="0" borderId="0" xfId="0" applyNumberFormat="1" applyFont="1" applyAlignment="1">
      <alignment horizontal="right" vertical="center"/>
    </xf>
    <xf numFmtId="9" fontId="19" fillId="0" borderId="0" xfId="2" applyFont="1" applyFill="1" applyAlignment="1">
      <alignment vertical="center"/>
    </xf>
    <xf numFmtId="9" fontId="19" fillId="0" borderId="0" xfId="2" applyFont="1" applyFill="1" applyBorder="1" applyAlignment="1">
      <alignment horizontal="right" vertical="center"/>
    </xf>
    <xf numFmtId="9" fontId="22" fillId="0" borderId="7" xfId="2" applyFont="1" applyFill="1" applyBorder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9" fontId="22" fillId="0" borderId="4" xfId="2" applyFont="1" applyFill="1" applyBorder="1" applyAlignment="1">
      <alignment horizontal="center" vertical="center"/>
    </xf>
    <xf numFmtId="2" fontId="23" fillId="0" borderId="0" xfId="0" applyNumberFormat="1" applyFont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9" fontId="26" fillId="0" borderId="0" xfId="2" applyFont="1" applyFill="1" applyAlignment="1">
      <alignment horizontal="center" vertical="center"/>
    </xf>
    <xf numFmtId="2" fontId="23" fillId="0" borderId="5" xfId="0" applyNumberFormat="1" applyFont="1" applyBorder="1" applyAlignment="1">
      <alignment horizontal="right" vertical="center"/>
    </xf>
    <xf numFmtId="2" fontId="31" fillId="0" borderId="0" xfId="0" applyNumberFormat="1" applyFont="1" applyAlignment="1">
      <alignment vertical="center"/>
    </xf>
    <xf numFmtId="9" fontId="19" fillId="0" borderId="0" xfId="2" applyFont="1" applyFill="1" applyAlignment="1">
      <alignment horizontal="right" vertical="center"/>
    </xf>
    <xf numFmtId="0" fontId="31" fillId="0" borderId="0" xfId="0" applyFont="1" applyAlignment="1">
      <alignment vertical="center"/>
    </xf>
    <xf numFmtId="9" fontId="22" fillId="0" borderId="0" xfId="2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6" fillId="0" borderId="0" xfId="2" applyFont="1" applyFill="1" applyBorder="1" applyAlignment="1">
      <alignment horizontal="center" vertical="center"/>
    </xf>
    <xf numFmtId="2" fontId="26" fillId="0" borderId="5" xfId="0" applyNumberFormat="1" applyFont="1" applyBorder="1" applyAlignment="1">
      <alignment horizontal="right" vertical="center"/>
    </xf>
    <xf numFmtId="0" fontId="31" fillId="0" borderId="0" xfId="1" applyNumberFormat="1" applyFont="1" applyFill="1" applyBorder="1" applyAlignment="1">
      <alignment horizontal="right" vertical="center"/>
    </xf>
    <xf numFmtId="2" fontId="33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horizontal="right" vertical="center"/>
    </xf>
    <xf numFmtId="2" fontId="25" fillId="0" borderId="5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2" fontId="26" fillId="0" borderId="0" xfId="0" applyNumberFormat="1" applyFont="1" applyAlignment="1">
      <alignment horizontal="right" vertical="center"/>
    </xf>
    <xf numFmtId="9" fontId="22" fillId="0" borderId="0" xfId="2" applyFont="1" applyFill="1" applyBorder="1" applyAlignment="1">
      <alignment vertical="center"/>
    </xf>
    <xf numFmtId="2" fontId="23" fillId="0" borderId="0" xfId="0" applyNumberFormat="1" applyFont="1" applyAlignment="1">
      <alignment horizontal="right"/>
    </xf>
    <xf numFmtId="49" fontId="23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 wrapText="1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right" vertical="center"/>
    </xf>
    <xf numFmtId="166" fontId="28" fillId="0" borderId="0" xfId="0" applyNumberFormat="1" applyFont="1" applyAlignment="1">
      <alignment horizontal="right" vertical="center"/>
    </xf>
    <xf numFmtId="9" fontId="28" fillId="0" borderId="0" xfId="2" applyFont="1" applyFill="1" applyBorder="1" applyAlignment="1">
      <alignment vertical="center"/>
    </xf>
    <xf numFmtId="2" fontId="29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49" fontId="23" fillId="0" borderId="0" xfId="0" applyNumberFormat="1" applyFont="1" applyAlignment="1">
      <alignment vertical="center"/>
    </xf>
    <xf numFmtId="1" fontId="23" fillId="0" borderId="0" xfId="0" applyNumberFormat="1" applyFont="1" applyAlignment="1">
      <alignment horizontal="center" vertical="center"/>
    </xf>
    <xf numFmtId="0" fontId="26" fillId="0" borderId="2" xfId="0" applyFont="1" applyBorder="1" applyAlignment="1">
      <alignment horizontal="left" vertical="center"/>
    </xf>
    <xf numFmtId="166" fontId="19" fillId="0" borderId="0" xfId="0" applyNumberFormat="1" applyFont="1" applyAlignment="1">
      <alignment horizontal="right" vertical="center"/>
    </xf>
    <xf numFmtId="166" fontId="19" fillId="0" borderId="2" xfId="0" applyNumberFormat="1" applyFont="1" applyBorder="1" applyAlignment="1">
      <alignment horizontal="right" vertical="center"/>
    </xf>
    <xf numFmtId="9" fontId="19" fillId="0" borderId="2" xfId="2" applyFont="1" applyFill="1" applyBorder="1" applyAlignment="1">
      <alignment vertical="center"/>
    </xf>
    <xf numFmtId="2" fontId="19" fillId="0" borderId="2" xfId="0" applyNumberFormat="1" applyFont="1" applyBorder="1" applyAlignment="1">
      <alignment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23" fillId="0" borderId="2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9" fontId="31" fillId="0" borderId="0" xfId="2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horizontal="right"/>
    </xf>
    <xf numFmtId="2" fontId="36" fillId="0" borderId="0" xfId="0" applyNumberFormat="1" applyFont="1" applyAlignment="1">
      <alignment horizontal="right"/>
    </xf>
    <xf numFmtId="9" fontId="19" fillId="0" borderId="0" xfId="2" applyFont="1" applyFill="1" applyAlignment="1"/>
    <xf numFmtId="9" fontId="13" fillId="0" borderId="0" xfId="2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9" fontId="22" fillId="0" borderId="0" xfId="2" applyFont="1" applyFill="1" applyBorder="1" applyAlignment="1">
      <alignment horizontal="right"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9" fontId="23" fillId="0" borderId="0" xfId="2" applyFont="1" applyFill="1" applyBorder="1" applyAlignment="1">
      <alignment horizontal="center"/>
    </xf>
    <xf numFmtId="9" fontId="26" fillId="0" borderId="0" xfId="2" applyFont="1" applyFill="1" applyAlignment="1"/>
    <xf numFmtId="2" fontId="25" fillId="0" borderId="0" xfId="0" applyNumberFormat="1" applyFont="1" applyAlignment="1">
      <alignment horizontal="right" vertical="center"/>
    </xf>
    <xf numFmtId="9" fontId="23" fillId="0" borderId="0" xfId="2" applyFont="1" applyFill="1" applyBorder="1" applyAlignment="1">
      <alignment vertical="center"/>
    </xf>
    <xf numFmtId="0" fontId="22" fillId="0" borderId="0" xfId="0" applyFont="1" applyAlignment="1">
      <alignment vertical="center"/>
    </xf>
    <xf numFmtId="9" fontId="25" fillId="0" borderId="0" xfId="2" applyFont="1" applyFill="1" applyBorder="1" applyAlignment="1">
      <alignment vertical="center"/>
    </xf>
    <xf numFmtId="9" fontId="24" fillId="0" borderId="0" xfId="2" applyFont="1" applyFill="1" applyBorder="1" applyAlignment="1">
      <alignment vertical="center"/>
    </xf>
    <xf numFmtId="9" fontId="29" fillId="0" borderId="0" xfId="2" applyFont="1" applyFill="1" applyBorder="1" applyAlignment="1">
      <alignment vertical="center"/>
    </xf>
    <xf numFmtId="9" fontId="16" fillId="0" borderId="0" xfId="2" applyFont="1" applyFill="1" applyBorder="1" applyAlignment="1">
      <alignment vertical="center"/>
    </xf>
    <xf numFmtId="9" fontId="34" fillId="0" borderId="0" xfId="2" applyFont="1" applyFill="1" applyBorder="1" applyAlignment="1">
      <alignment vertical="center"/>
    </xf>
    <xf numFmtId="1" fontId="23" fillId="0" borderId="0" xfId="0" applyNumberFormat="1" applyFont="1" applyAlignment="1">
      <alignment horizontal="left"/>
    </xf>
    <xf numFmtId="0" fontId="39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9" fontId="19" fillId="0" borderId="0" xfId="2" applyFont="1" applyFill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38" fillId="0" borderId="0" xfId="0" applyFont="1" applyAlignment="1" applyProtection="1">
      <alignment horizontal="center" vertical="center"/>
      <protection locked="0"/>
    </xf>
    <xf numFmtId="1" fontId="38" fillId="0" borderId="0" xfId="0" applyNumberFormat="1" applyFont="1" applyAlignment="1" applyProtection="1">
      <alignment horizontal="center" vertical="center"/>
      <protection locked="0"/>
    </xf>
    <xf numFmtId="1" fontId="13" fillId="0" borderId="0" xfId="0" applyNumberFormat="1" applyFont="1" applyAlignment="1">
      <alignment horizontal="center" vertical="center"/>
    </xf>
    <xf numFmtId="0" fontId="23" fillId="0" borderId="7" xfId="0" applyFont="1" applyBorder="1" applyAlignment="1">
      <alignment vertical="center"/>
    </xf>
    <xf numFmtId="0" fontId="26" fillId="0" borderId="7" xfId="0" applyFont="1" applyBorder="1" applyAlignment="1">
      <alignment horizontal="left" vertical="center"/>
    </xf>
    <xf numFmtId="0" fontId="26" fillId="0" borderId="7" xfId="0" applyFont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2" fontId="26" fillId="0" borderId="7" xfId="0" applyNumberFormat="1" applyFont="1" applyBorder="1" applyAlignment="1">
      <alignment horizontal="right" vertical="center"/>
    </xf>
    <xf numFmtId="9" fontId="22" fillId="0" borderId="0" xfId="2" applyFont="1" applyFill="1" applyBorder="1" applyAlignment="1" applyProtection="1">
      <alignment horizontal="center" vertical="center"/>
    </xf>
    <xf numFmtId="9" fontId="26" fillId="0" borderId="0" xfId="2" applyFont="1" applyFill="1" applyAlignment="1" applyProtection="1">
      <alignment vertical="center"/>
    </xf>
    <xf numFmtId="9" fontId="26" fillId="0" borderId="0" xfId="2" applyFont="1" applyFill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1" fontId="13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center" vertical="center"/>
    </xf>
    <xf numFmtId="9" fontId="19" fillId="0" borderId="0" xfId="2" applyFont="1" applyFill="1" applyBorder="1" applyAlignment="1" applyProtection="1">
      <alignment horizontal="center" vertical="center"/>
    </xf>
    <xf numFmtId="9" fontId="23" fillId="0" borderId="0" xfId="2" applyFont="1" applyFill="1" applyBorder="1" applyAlignment="1" applyProtection="1">
      <alignment horizontal="center"/>
    </xf>
    <xf numFmtId="9" fontId="27" fillId="0" borderId="0" xfId="2" applyFont="1" applyFill="1" applyBorder="1" applyAlignment="1" applyProtection="1">
      <alignment horizontal="center"/>
    </xf>
    <xf numFmtId="9" fontId="31" fillId="0" borderId="0" xfId="2" applyFont="1" applyFill="1" applyBorder="1" applyAlignment="1" applyProtection="1">
      <alignment vertical="center"/>
    </xf>
    <xf numFmtId="2" fontId="19" fillId="0" borderId="0" xfId="0" applyNumberFormat="1" applyFont="1" applyAlignment="1">
      <alignment horizontal="center" vertical="center"/>
    </xf>
    <xf numFmtId="9" fontId="26" fillId="0" borderId="0" xfId="2" applyFont="1" applyFill="1" applyBorder="1" applyAlignment="1" applyProtection="1">
      <alignment horizontal="center" vertical="center"/>
    </xf>
    <xf numFmtId="0" fontId="25" fillId="0" borderId="7" xfId="0" applyFont="1" applyBorder="1" applyAlignment="1">
      <alignment horizontal="left" vertical="center"/>
    </xf>
    <xf numFmtId="165" fontId="25" fillId="0" borderId="7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vertical="center"/>
    </xf>
    <xf numFmtId="2" fontId="25" fillId="0" borderId="7" xfId="0" applyNumberFormat="1" applyFont="1" applyBorder="1" applyAlignment="1">
      <alignment horizontal="right" vertical="center"/>
    </xf>
    <xf numFmtId="2" fontId="26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9" fontId="47" fillId="0" borderId="0" xfId="2" applyFont="1" applyFill="1" applyBorder="1" applyAlignment="1" applyProtection="1">
      <alignment horizontal="center" vertical="center"/>
    </xf>
    <xf numFmtId="0" fontId="46" fillId="0" borderId="0" xfId="0" applyFont="1" applyAlignment="1">
      <alignment vertical="center"/>
    </xf>
    <xf numFmtId="49" fontId="26" fillId="0" borderId="0" xfId="0" applyNumberFormat="1" applyFont="1" applyAlignment="1">
      <alignment vertical="center"/>
    </xf>
    <xf numFmtId="9" fontId="26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horizontal="center"/>
    </xf>
    <xf numFmtId="9" fontId="26" fillId="0" borderId="0" xfId="2" applyFont="1" applyFill="1" applyBorder="1" applyAlignment="1">
      <alignment vertical="center"/>
    </xf>
    <xf numFmtId="0" fontId="43" fillId="0" borderId="0" xfId="0" applyFont="1" applyAlignment="1">
      <alignment horizontal="left" vertical="center"/>
    </xf>
    <xf numFmtId="2" fontId="35" fillId="0" borderId="0" xfId="0" applyNumberFormat="1" applyFont="1" applyAlignment="1">
      <alignment horizontal="right"/>
    </xf>
    <xf numFmtId="9" fontId="19" fillId="0" borderId="0" xfId="2" applyFont="1" applyFill="1" applyBorder="1" applyAlignment="1">
      <alignment horizontal="right"/>
    </xf>
    <xf numFmtId="0" fontId="29" fillId="0" borderId="0" xfId="0" applyFont="1"/>
    <xf numFmtId="0" fontId="24" fillId="0" borderId="0" xfId="0" applyFont="1" applyAlignment="1">
      <alignment horizontal="center"/>
    </xf>
    <xf numFmtId="0" fontId="42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23" fillId="0" borderId="0" xfId="0" applyFont="1" applyAlignment="1">
      <alignment wrapText="1"/>
    </xf>
    <xf numFmtId="2" fontId="23" fillId="0" borderId="1" xfId="0" applyNumberFormat="1" applyFont="1" applyBorder="1" applyAlignment="1">
      <alignment horizontal="center" wrapText="1"/>
    </xf>
    <xf numFmtId="2" fontId="24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43" fillId="0" borderId="0" xfId="0" applyFont="1"/>
    <xf numFmtId="2" fontId="23" fillId="0" borderId="0" xfId="0" applyNumberFormat="1" applyFont="1" applyAlignment="1">
      <alignment horizontal="center" wrapText="1"/>
    </xf>
    <xf numFmtId="2" fontId="24" fillId="0" borderId="0" xfId="0" applyNumberFormat="1" applyFont="1" applyAlignment="1">
      <alignment horizontal="center"/>
    </xf>
    <xf numFmtId="0" fontId="51" fillId="0" borderId="0" xfId="0" applyFont="1" applyAlignment="1">
      <alignment horizontal="left" vertical="center"/>
    </xf>
    <xf numFmtId="2" fontId="23" fillId="0" borderId="5" xfId="0" applyNumberFormat="1" applyFont="1" applyBorder="1" applyAlignment="1">
      <alignment horizontal="center" wrapText="1"/>
    </xf>
    <xf numFmtId="2" fontId="19" fillId="0" borderId="5" xfId="0" applyNumberFormat="1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wrapText="1"/>
    </xf>
    <xf numFmtId="0" fontId="13" fillId="5" borderId="0" xfId="0" applyFont="1" applyFill="1" applyAlignment="1">
      <alignment wrapText="1"/>
    </xf>
    <xf numFmtId="0" fontId="13" fillId="5" borderId="0" xfId="0" applyFont="1" applyFill="1"/>
    <xf numFmtId="0" fontId="13" fillId="0" borderId="0" xfId="0" applyFont="1" applyAlignment="1">
      <alignment wrapText="1"/>
    </xf>
    <xf numFmtId="14" fontId="13" fillId="0" borderId="0" xfId="0" applyNumberFormat="1" applyFont="1"/>
    <xf numFmtId="0" fontId="52" fillId="0" borderId="0" xfId="0" applyFont="1" applyAlignment="1">
      <alignment wrapText="1"/>
    </xf>
    <xf numFmtId="9" fontId="31" fillId="0" borderId="11" xfId="2" applyFont="1" applyFill="1" applyBorder="1" applyAlignment="1">
      <alignment vertical="center"/>
    </xf>
    <xf numFmtId="9" fontId="31" fillId="0" borderId="10" xfId="2" applyFont="1" applyFill="1" applyBorder="1" applyAlignment="1">
      <alignment vertical="center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5" fillId="0" borderId="0" xfId="0" applyFont="1" applyAlignment="1">
      <alignment vertical="center"/>
    </xf>
    <xf numFmtId="165" fontId="47" fillId="0" borderId="0" xfId="0" applyNumberFormat="1" applyFont="1" applyAlignment="1">
      <alignment horizontal="center" vertical="center"/>
    </xf>
    <xf numFmtId="9" fontId="47" fillId="0" borderId="4" xfId="2" applyFont="1" applyFill="1" applyBorder="1" applyAlignment="1">
      <alignment horizontal="center" vertical="center"/>
    </xf>
    <xf numFmtId="165" fontId="48" fillId="0" borderId="0" xfId="0" applyNumberFormat="1" applyFont="1" applyAlignment="1">
      <alignment horizontal="center" vertical="center"/>
    </xf>
    <xf numFmtId="9" fontId="48" fillId="0" borderId="3" xfId="2" applyFont="1" applyFill="1" applyBorder="1" applyAlignment="1">
      <alignment horizontal="center" vertical="center"/>
    </xf>
    <xf numFmtId="9" fontId="47" fillId="0" borderId="3" xfId="2" applyFont="1" applyFill="1" applyBorder="1" applyAlignment="1">
      <alignment horizontal="center" vertical="center"/>
    </xf>
    <xf numFmtId="0" fontId="7" fillId="0" borderId="0" xfId="0" applyFont="1"/>
    <xf numFmtId="0" fontId="7" fillId="5" borderId="0" xfId="0" applyFont="1" applyFill="1"/>
    <xf numFmtId="14" fontId="7" fillId="0" borderId="0" xfId="0" applyNumberFormat="1" applyFont="1"/>
    <xf numFmtId="9" fontId="47" fillId="0" borderId="6" xfId="2" applyFont="1" applyFill="1" applyBorder="1" applyAlignment="1">
      <alignment vertical="center"/>
    </xf>
    <xf numFmtId="2" fontId="47" fillId="0" borderId="0" xfId="0" applyNumberFormat="1" applyFont="1" applyAlignment="1">
      <alignment horizontal="center" vertical="center"/>
    </xf>
    <xf numFmtId="2" fontId="47" fillId="0" borderId="0" xfId="0" applyNumberFormat="1" applyFont="1" applyAlignment="1">
      <alignment horizontal="left" vertical="center"/>
    </xf>
    <xf numFmtId="1" fontId="47" fillId="0" borderId="3" xfId="0" applyNumberFormat="1" applyFont="1" applyBorder="1" applyAlignment="1">
      <alignment horizontal="center" vertical="center"/>
    </xf>
    <xf numFmtId="9" fontId="32" fillId="0" borderId="0" xfId="2" applyFont="1" applyFill="1" applyBorder="1" applyAlignment="1">
      <alignment horizontal="center" vertical="center"/>
    </xf>
    <xf numFmtId="0" fontId="23" fillId="0" borderId="5" xfId="0" applyFont="1" applyBorder="1" applyAlignment="1">
      <alignment vertical="center"/>
    </xf>
    <xf numFmtId="9" fontId="32" fillId="0" borderId="5" xfId="2" applyFont="1" applyFill="1" applyBorder="1" applyAlignment="1">
      <alignment horizontal="center" vertical="center"/>
    </xf>
    <xf numFmtId="2" fontId="25" fillId="0" borderId="5" xfId="0" applyNumberFormat="1" applyFont="1" applyBorder="1" applyAlignment="1">
      <alignment vertical="center"/>
    </xf>
    <xf numFmtId="2" fontId="26" fillId="0" borderId="5" xfId="0" applyNumberFormat="1" applyFont="1" applyBorder="1" applyAlignment="1">
      <alignment vertical="center"/>
    </xf>
    <xf numFmtId="1" fontId="23" fillId="0" borderId="5" xfId="0" applyNumberFormat="1" applyFont="1" applyBorder="1" applyAlignment="1">
      <alignment vertical="center"/>
    </xf>
    <xf numFmtId="165" fontId="47" fillId="0" borderId="0" xfId="0" applyNumberFormat="1" applyFont="1" applyAlignment="1">
      <alignment horizontal="right" vertical="center"/>
    </xf>
    <xf numFmtId="165" fontId="48" fillId="0" borderId="0" xfId="0" applyNumberFormat="1" applyFont="1" applyAlignment="1">
      <alignment horizontal="right" vertical="center"/>
    </xf>
    <xf numFmtId="1" fontId="23" fillId="0" borderId="5" xfId="0" applyNumberFormat="1" applyFont="1" applyBorder="1" applyAlignment="1">
      <alignment horizontal="left" vertical="center"/>
    </xf>
    <xf numFmtId="2" fontId="23" fillId="0" borderId="5" xfId="0" applyNumberFormat="1" applyFont="1" applyBorder="1" applyAlignment="1">
      <alignment vertical="center"/>
    </xf>
    <xf numFmtId="1" fontId="23" fillId="0" borderId="5" xfId="0" applyNumberFormat="1" applyFont="1" applyBorder="1" applyAlignment="1">
      <alignment horizontal="right" vertical="center"/>
    </xf>
    <xf numFmtId="9" fontId="47" fillId="0" borderId="12" xfId="2" applyFont="1" applyFill="1" applyBorder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1" applyNumberFormat="1" applyFont="1" applyFill="1" applyBorder="1" applyAlignment="1">
      <alignment horizontal="center" vertical="center"/>
    </xf>
    <xf numFmtId="10" fontId="47" fillId="0" borderId="0" xfId="2" applyNumberFormat="1" applyFont="1" applyFill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9" fontId="47" fillId="0" borderId="0" xfId="2" applyFont="1" applyFill="1" applyAlignment="1">
      <alignment horizontal="center" vertical="center"/>
    </xf>
    <xf numFmtId="9" fontId="19" fillId="0" borderId="0" xfId="2" applyFont="1" applyFill="1" applyAlignment="1">
      <alignment horizontal="center" vertical="center"/>
    </xf>
    <xf numFmtId="9" fontId="24" fillId="0" borderId="0" xfId="0" applyNumberFormat="1" applyFont="1" applyAlignment="1">
      <alignment horizontal="center" vertical="center"/>
    </xf>
    <xf numFmtId="9" fontId="24" fillId="0" borderId="0" xfId="2" applyFont="1" applyFill="1" applyAlignment="1">
      <alignment horizontal="center" vertical="center"/>
    </xf>
    <xf numFmtId="0" fontId="6" fillId="0" borderId="0" xfId="0" applyFont="1"/>
    <xf numFmtId="0" fontId="20" fillId="0" borderId="0" xfId="3" applyFont="1" applyFill="1" applyBorder="1" applyAlignment="1" applyProtection="1"/>
    <xf numFmtId="0" fontId="33" fillId="0" borderId="0" xfId="0" applyFont="1" applyAlignment="1">
      <alignment horizontal="center" vertical="center"/>
    </xf>
    <xf numFmtId="9" fontId="47" fillId="0" borderId="7" xfId="2" applyFont="1" applyFill="1" applyBorder="1" applyAlignment="1">
      <alignment horizontal="center" vertical="center"/>
    </xf>
    <xf numFmtId="0" fontId="5" fillId="0" borderId="0" xfId="0" applyFont="1"/>
    <xf numFmtId="0" fontId="57" fillId="0" borderId="0" xfId="0" applyFont="1" applyAlignment="1">
      <alignment wrapText="1"/>
    </xf>
    <xf numFmtId="166" fontId="24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165" fontId="59" fillId="0" borderId="0" xfId="0" applyNumberFormat="1" applyFont="1" applyAlignment="1">
      <alignment horizontal="right"/>
    </xf>
    <xf numFmtId="9" fontId="59" fillId="0" borderId="3" xfId="2" applyFont="1" applyFill="1" applyBorder="1" applyAlignment="1" applyProtection="1">
      <alignment horizontal="center"/>
    </xf>
    <xf numFmtId="0" fontId="58" fillId="0" borderId="0" xfId="0" applyFont="1"/>
    <xf numFmtId="165" fontId="58" fillId="0" borderId="0" xfId="0" applyNumberFormat="1" applyFont="1" applyAlignment="1">
      <alignment horizontal="center" vertical="center"/>
    </xf>
    <xf numFmtId="9" fontId="58" fillId="0" borderId="3" xfId="2" applyFont="1" applyFill="1" applyBorder="1" applyAlignment="1" applyProtection="1">
      <alignment horizontal="center" vertical="center"/>
    </xf>
    <xf numFmtId="0" fontId="6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9" fontId="62" fillId="0" borderId="0" xfId="2" applyFont="1" applyFill="1" applyAlignment="1" applyProtection="1">
      <alignment horizontal="center" vertical="center"/>
    </xf>
    <xf numFmtId="0" fontId="60" fillId="0" borderId="0" xfId="0" applyFont="1" applyAlignment="1" applyProtection="1">
      <alignment horizontal="center" vertical="center"/>
      <protection locked="0"/>
    </xf>
    <xf numFmtId="1" fontId="60" fillId="0" borderId="0" xfId="0" applyNumberFormat="1" applyFont="1" applyAlignment="1" applyProtection="1">
      <alignment horizontal="center" vertical="center"/>
      <protection locked="0"/>
    </xf>
    <xf numFmtId="2" fontId="58" fillId="0" borderId="0" xfId="0" applyNumberFormat="1" applyFont="1" applyAlignment="1">
      <alignment vertical="center"/>
    </xf>
    <xf numFmtId="9" fontId="58" fillId="0" borderId="0" xfId="2" applyFont="1" applyFill="1" applyBorder="1" applyAlignment="1" applyProtection="1">
      <alignment vertical="center"/>
    </xf>
    <xf numFmtId="2" fontId="58" fillId="0" borderId="0" xfId="0" applyNumberFormat="1" applyFont="1" applyAlignment="1">
      <alignment horizontal="center" vertical="center"/>
    </xf>
    <xf numFmtId="165" fontId="59" fillId="0" borderId="0" xfId="0" applyNumberFormat="1" applyFont="1" applyAlignment="1">
      <alignment horizontal="center"/>
    </xf>
    <xf numFmtId="9" fontId="59" fillId="0" borderId="3" xfId="2" applyFont="1" applyFill="1" applyBorder="1" applyAlignment="1">
      <alignment horizontal="center"/>
    </xf>
    <xf numFmtId="9" fontId="58" fillId="0" borderId="3" xfId="2" applyFont="1" applyFill="1" applyBorder="1" applyAlignment="1">
      <alignment horizontal="center" vertical="center"/>
    </xf>
    <xf numFmtId="9" fontId="58" fillId="0" borderId="0" xfId="2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57" fillId="0" borderId="0" xfId="0" applyFont="1"/>
    <xf numFmtId="14" fontId="57" fillId="0" borderId="0" xfId="0" applyNumberFormat="1" applyFont="1"/>
    <xf numFmtId="0" fontId="4" fillId="0" borderId="0" xfId="0" applyFont="1"/>
    <xf numFmtId="0" fontId="4" fillId="0" borderId="0" xfId="0" applyFont="1" applyAlignment="1">
      <alignment wrapText="1"/>
    </xf>
    <xf numFmtId="0" fontId="63" fillId="0" borderId="0" xfId="0" applyFont="1" applyAlignment="1">
      <alignment horizontal="right" vertical="center"/>
    </xf>
    <xf numFmtId="167" fontId="19" fillId="0" borderId="0" xfId="2" applyNumberFormat="1" applyFont="1" applyFill="1" applyBorder="1" applyAlignment="1">
      <alignment vertical="center"/>
    </xf>
    <xf numFmtId="14" fontId="44" fillId="0" borderId="0" xfId="0" applyNumberFormat="1" applyFont="1" applyAlignment="1">
      <alignment horizontal="center" vertical="center"/>
    </xf>
    <xf numFmtId="14" fontId="44" fillId="0" borderId="0" xfId="0" applyNumberFormat="1" applyFont="1" applyAlignment="1">
      <alignment horizontal="center" vertical="top"/>
    </xf>
    <xf numFmtId="0" fontId="15" fillId="0" borderId="0" xfId="3" applyFont="1"/>
    <xf numFmtId="164" fontId="26" fillId="0" borderId="0" xfId="1" applyFont="1" applyFill="1" applyBorder="1" applyAlignment="1">
      <alignment horizontal="center" vertical="center"/>
    </xf>
    <xf numFmtId="164" fontId="19" fillId="0" borderId="0" xfId="1" applyFont="1" applyFill="1" applyAlignment="1">
      <alignment vertical="center"/>
    </xf>
    <xf numFmtId="9" fontId="36" fillId="0" borderId="0" xfId="2" applyFont="1" applyFill="1" applyBorder="1" applyAlignment="1">
      <alignment horizontal="right" vertical="center"/>
    </xf>
    <xf numFmtId="9" fontId="19" fillId="0" borderId="0" xfId="2" applyFont="1" applyFill="1" applyBorder="1" applyAlignment="1">
      <alignment horizontal="center" vertical="center"/>
    </xf>
    <xf numFmtId="9" fontId="24" fillId="0" borderId="0" xfId="2" applyFont="1" applyFill="1" applyBorder="1" applyAlignment="1">
      <alignment horizontal="center" vertical="center"/>
    </xf>
    <xf numFmtId="9" fontId="22" fillId="0" borderId="13" xfId="2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right" vertical="center"/>
    </xf>
    <xf numFmtId="0" fontId="61" fillId="0" borderId="0" xfId="0" applyFont="1" applyAlignment="1">
      <alignment vertical="center"/>
    </xf>
    <xf numFmtId="0" fontId="50" fillId="0" borderId="2" xfId="3" applyFont="1" applyFill="1" applyBorder="1" applyProtection="1"/>
    <xf numFmtId="0" fontId="36" fillId="0" borderId="0" xfId="0" applyFont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9" fontId="58" fillId="0" borderId="12" xfId="2" applyFont="1" applyFill="1" applyBorder="1" applyAlignment="1">
      <alignment horizontal="center" vertical="center"/>
    </xf>
    <xf numFmtId="10" fontId="58" fillId="0" borderId="0" xfId="2" applyNumberFormat="1" applyFont="1" applyFill="1" applyAlignment="1">
      <alignment horizontal="center" vertical="center"/>
    </xf>
    <xf numFmtId="0" fontId="62" fillId="0" borderId="0" xfId="0" applyFont="1" applyAlignment="1">
      <alignment horizontal="center" vertical="center"/>
    </xf>
    <xf numFmtId="9" fontId="58" fillId="0" borderId="6" xfId="2" applyFont="1" applyFill="1" applyBorder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10" fontId="58" fillId="0" borderId="0" xfId="2" applyNumberFormat="1" applyFont="1" applyFill="1" applyBorder="1" applyAlignment="1">
      <alignment horizontal="center" vertical="center"/>
    </xf>
    <xf numFmtId="164" fontId="19" fillId="0" borderId="0" xfId="1" applyFont="1" applyFill="1" applyAlignment="1" applyProtection="1">
      <alignment horizontal="center" vertical="center"/>
    </xf>
    <xf numFmtId="164" fontId="19" fillId="0" borderId="0" xfId="0" applyNumberFormat="1" applyFont="1" applyAlignment="1">
      <alignment vertical="center"/>
    </xf>
    <xf numFmtId="164" fontId="58" fillId="0" borderId="0" xfId="1" applyFont="1" applyFill="1" applyAlignment="1" applyProtection="1">
      <alignment horizontal="center" vertical="center"/>
    </xf>
    <xf numFmtId="164" fontId="58" fillId="0" borderId="0" xfId="1" applyFont="1" applyFill="1" applyAlignment="1" applyProtection="1">
      <alignment vertical="top"/>
    </xf>
    <xf numFmtId="2" fontId="47" fillId="0" borderId="0" xfId="1" applyNumberFormat="1" applyFont="1" applyFill="1" applyBorder="1" applyAlignment="1">
      <alignment horizontal="right" vertical="center"/>
    </xf>
    <xf numFmtId="9" fontId="58" fillId="0" borderId="4" xfId="2" applyFont="1" applyFill="1" applyBorder="1" applyAlignment="1">
      <alignment horizontal="center" vertical="center"/>
    </xf>
    <xf numFmtId="9" fontId="58" fillId="0" borderId="6" xfId="2" applyFont="1" applyFill="1" applyBorder="1" applyAlignment="1">
      <alignment horizontal="left" vertical="center"/>
    </xf>
    <xf numFmtId="9" fontId="19" fillId="0" borderId="6" xfId="2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2" fontId="66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1" applyNumberFormat="1" applyFont="1" applyFill="1" applyBorder="1" applyAlignment="1">
      <alignment horizontal="center" vertical="center"/>
    </xf>
    <xf numFmtId="14" fontId="44" fillId="0" borderId="0" xfId="0" applyNumberFormat="1" applyFont="1" applyAlignment="1">
      <alignment vertical="center"/>
    </xf>
    <xf numFmtId="0" fontId="2" fillId="0" borderId="0" xfId="0" applyFont="1" applyAlignment="1">
      <alignment wrapText="1"/>
    </xf>
    <xf numFmtId="0" fontId="2" fillId="0" borderId="0" xfId="0" applyFont="1"/>
    <xf numFmtId="167" fontId="58" fillId="0" borderId="0" xfId="2" applyNumberFormat="1" applyFont="1" applyAlignment="1">
      <alignment horizontal="center" vertical="center"/>
    </xf>
    <xf numFmtId="167" fontId="58" fillId="0" borderId="0" xfId="2" applyNumberFormat="1" applyFont="1" applyFill="1" applyBorder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right" vertical="center"/>
    </xf>
    <xf numFmtId="9" fontId="19" fillId="0" borderId="0" xfId="2" applyFont="1" applyAlignment="1">
      <alignment horizontal="right" vertical="center"/>
    </xf>
    <xf numFmtId="0" fontId="23" fillId="0" borderId="0" xfId="0" applyFont="1" applyAlignment="1">
      <alignment horizontal="center"/>
    </xf>
    <xf numFmtId="0" fontId="12" fillId="3" borderId="0" xfId="3" applyFont="1" applyFill="1" applyBorder="1" applyAlignment="1" applyProtection="1"/>
    <xf numFmtId="0" fontId="13" fillId="3" borderId="2" xfId="0" applyFont="1" applyFill="1" applyBorder="1"/>
    <xf numFmtId="0" fontId="14" fillId="4" borderId="0" xfId="3" applyFont="1" applyFill="1" applyAlignment="1" applyProtection="1"/>
    <xf numFmtId="0" fontId="14" fillId="0" borderId="0" xfId="3" applyFont="1" applyAlignment="1" applyProtection="1"/>
    <xf numFmtId="0" fontId="14" fillId="11" borderId="0" xfId="3" applyFont="1" applyFill="1" applyBorder="1" applyAlignment="1" applyProtection="1"/>
    <xf numFmtId="0" fontId="14" fillId="11" borderId="2" xfId="3" applyFont="1" applyFill="1" applyBorder="1" applyAlignment="1" applyProtection="1"/>
    <xf numFmtId="0" fontId="14" fillId="6" borderId="0" xfId="3" applyFont="1" applyFill="1" applyBorder="1" applyAlignment="1" applyProtection="1"/>
    <xf numFmtId="0" fontId="12" fillId="8" borderId="5" xfId="3" applyFont="1" applyFill="1" applyBorder="1" applyAlignment="1" applyProtection="1"/>
    <xf numFmtId="0" fontId="12" fillId="8" borderId="2" xfId="3" applyFont="1" applyFill="1" applyBorder="1" applyAlignment="1" applyProtection="1"/>
    <xf numFmtId="0" fontId="14" fillId="7" borderId="0" xfId="3" applyFont="1" applyFill="1" applyBorder="1" applyAlignment="1" applyProtection="1"/>
    <xf numFmtId="0" fontId="13" fillId="0" borderId="2" xfId="0" applyFont="1" applyBorder="1"/>
    <xf numFmtId="0" fontId="14" fillId="9" borderId="5" xfId="3" applyFont="1" applyFill="1" applyBorder="1" applyAlignment="1" applyProtection="1"/>
    <xf numFmtId="0" fontId="14" fillId="9" borderId="0" xfId="3" applyFont="1" applyFill="1" applyAlignment="1" applyProtection="1"/>
    <xf numFmtId="0" fontId="12" fillId="2" borderId="0" xfId="3" applyFont="1" applyFill="1" applyBorder="1" applyAlignment="1" applyProtection="1"/>
    <xf numFmtId="0" fontId="14" fillId="10" borderId="5" xfId="3" applyFont="1" applyFill="1" applyBorder="1" applyAlignment="1" applyProtection="1"/>
    <xf numFmtId="0" fontId="14" fillId="0" borderId="2" xfId="3" applyFont="1" applyBorder="1" applyAlignment="1" applyProtection="1"/>
    <xf numFmtId="0" fontId="12" fillId="12" borderId="5" xfId="3" applyFont="1" applyFill="1" applyBorder="1" applyAlignment="1" applyProtection="1"/>
    <xf numFmtId="0" fontId="12" fillId="12" borderId="2" xfId="3" applyFont="1" applyFill="1" applyBorder="1" applyAlignment="1" applyProtection="1"/>
    <xf numFmtId="0" fontId="13" fillId="3" borderId="0" xfId="0" applyFont="1" applyFill="1"/>
    <xf numFmtId="0" fontId="14" fillId="10" borderId="0" xfId="3" applyFont="1" applyFill="1" applyBorder="1" applyAlignment="1" applyProtection="1"/>
    <xf numFmtId="0" fontId="14" fillId="0" borderId="0" xfId="3" applyFont="1" applyBorder="1" applyAlignment="1" applyProtection="1"/>
    <xf numFmtId="0" fontId="12" fillId="8" borderId="0" xfId="3" applyFont="1" applyFill="1" applyBorder="1" applyAlignment="1" applyProtection="1"/>
    <xf numFmtId="0" fontId="14" fillId="4" borderId="0" xfId="3" applyFont="1" applyFill="1" applyBorder="1" applyAlignment="1" applyProtection="1"/>
    <xf numFmtId="0" fontId="13" fillId="0" borderId="0" xfId="0" applyFont="1"/>
    <xf numFmtId="0" fontId="14" fillId="9" borderId="0" xfId="3" applyFont="1" applyFill="1" applyBorder="1" applyAlignment="1" applyProtection="1"/>
    <xf numFmtId="0" fontId="14" fillId="11" borderId="5" xfId="3" applyFont="1" applyFill="1" applyBorder="1" applyAlignment="1" applyProtection="1"/>
    <xf numFmtId="0" fontId="14" fillId="0" borderId="5" xfId="3" applyFont="1" applyBorder="1" applyAlignment="1" applyProtection="1">
      <alignment wrapText="1"/>
    </xf>
    <xf numFmtId="0" fontId="14" fillId="0" borderId="0" xfId="3" applyFont="1" applyAlignment="1" applyProtection="1">
      <alignment wrapText="1"/>
    </xf>
    <xf numFmtId="0" fontId="13" fillId="0" borderId="5" xfId="0" applyFont="1" applyBorder="1" applyAlignment="1">
      <alignment wrapText="1"/>
    </xf>
    <xf numFmtId="0" fontId="13" fillId="0" borderId="0" xfId="0" applyFont="1" applyAlignment="1">
      <alignment wrapText="1"/>
    </xf>
    <xf numFmtId="0" fontId="14" fillId="11" borderId="0" xfId="3" applyFont="1" applyFill="1" applyAlignment="1" applyProtection="1"/>
    <xf numFmtId="0" fontId="16" fillId="0" borderId="5" xfId="3" applyFont="1" applyBorder="1" applyAlignment="1" applyProtection="1">
      <alignment wrapText="1"/>
    </xf>
    <xf numFmtId="0" fontId="16" fillId="0" borderId="0" xfId="3" applyFont="1" applyAlignment="1" applyProtection="1">
      <alignment wrapText="1"/>
    </xf>
    <xf numFmtId="0" fontId="14" fillId="0" borderId="4" xfId="0" applyFont="1" applyBorder="1" applyAlignment="1">
      <alignment horizontal="center" vertical="center" textRotation="90"/>
    </xf>
    <xf numFmtId="0" fontId="17" fillId="0" borderId="8" xfId="0" applyFont="1" applyBorder="1" applyAlignment="1">
      <alignment horizontal="center" vertical="center" textRotation="90"/>
    </xf>
    <xf numFmtId="0" fontId="17" fillId="0" borderId="9" xfId="0" applyFont="1" applyBorder="1" applyAlignment="1">
      <alignment horizontal="center" vertical="center" textRotation="90"/>
    </xf>
    <xf numFmtId="0" fontId="17" fillId="0" borderId="4" xfId="0" applyFont="1" applyBorder="1" applyAlignment="1">
      <alignment horizontal="center" vertical="center" textRotation="90"/>
    </xf>
    <xf numFmtId="0" fontId="0" fillId="0" borderId="8" xfId="0" applyBorder="1" applyAlignment="1">
      <alignment horizontal="center" vertical="center" textRotation="90"/>
    </xf>
    <xf numFmtId="0" fontId="0" fillId="0" borderId="9" xfId="0" applyBorder="1" applyAlignment="1">
      <alignment horizontal="center" vertical="center" textRotation="90"/>
    </xf>
    <xf numFmtId="0" fontId="40" fillId="0" borderId="4" xfId="0" applyFont="1" applyBorder="1" applyAlignment="1" applyProtection="1">
      <alignment horizontal="center" vertical="center"/>
      <protection locked="0"/>
    </xf>
    <xf numFmtId="0" fontId="41" fillId="0" borderId="8" xfId="0" applyFont="1" applyBorder="1" applyAlignment="1" applyProtection="1">
      <alignment horizontal="center" vertical="center"/>
      <protection locked="0"/>
    </xf>
    <xf numFmtId="0" fontId="41" fillId="0" borderId="9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" fontId="61" fillId="0" borderId="0" xfId="0" applyNumberFormat="1" applyFont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2" fontId="13" fillId="0" borderId="0" xfId="0" applyNumberFormat="1" applyFont="1" applyAlignment="1">
      <alignment horizontal="center" vertical="center"/>
    </xf>
    <xf numFmtId="2" fontId="60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2" fontId="61" fillId="0" borderId="4" xfId="0" applyNumberFormat="1" applyFont="1" applyBorder="1" applyAlignment="1" applyProtection="1">
      <alignment horizontal="center" vertical="center"/>
      <protection locked="0"/>
    </xf>
    <xf numFmtId="2" fontId="60" fillId="0" borderId="8" xfId="0" applyNumberFormat="1" applyFont="1" applyBorder="1" applyAlignment="1" applyProtection="1">
      <alignment horizontal="center" vertical="center"/>
      <protection locked="0"/>
    </xf>
    <xf numFmtId="0" fontId="60" fillId="0" borderId="8" xfId="0" applyFont="1" applyBorder="1" applyAlignment="1" applyProtection="1">
      <alignment horizontal="center" vertical="center"/>
      <protection locked="0"/>
    </xf>
    <xf numFmtId="0" fontId="60" fillId="0" borderId="9" xfId="0" applyFont="1" applyBorder="1" applyAlignment="1" applyProtection="1">
      <alignment horizontal="center" vertical="center"/>
      <protection locked="0"/>
    </xf>
    <xf numFmtId="1" fontId="61" fillId="0" borderId="4" xfId="0" applyNumberFormat="1" applyFont="1" applyBorder="1" applyAlignment="1" applyProtection="1">
      <alignment horizontal="center" vertical="center"/>
      <protection locked="0"/>
    </xf>
    <xf numFmtId="1" fontId="60" fillId="0" borderId="8" xfId="0" applyNumberFormat="1" applyFont="1" applyBorder="1" applyAlignment="1" applyProtection="1">
      <alignment horizontal="center" vertical="center"/>
      <protection locked="0"/>
    </xf>
    <xf numFmtId="1" fontId="60" fillId="0" borderId="9" xfId="0" applyNumberFormat="1" applyFont="1" applyBorder="1" applyAlignment="1" applyProtection="1">
      <alignment horizontal="center" vertical="center"/>
      <protection locked="0"/>
    </xf>
    <xf numFmtId="1" fontId="16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2" fontId="13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4" fillId="0" borderId="9" xfId="0" applyFont="1" applyBorder="1" applyAlignment="1" applyProtection="1">
      <alignment horizontal="center" vertical="center"/>
      <protection locked="0"/>
    </xf>
    <xf numFmtId="1" fontId="64" fillId="0" borderId="9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2" fontId="24" fillId="0" borderId="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2" fontId="24" fillId="0" borderId="5" xfId="0" applyNumberFormat="1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5" xfId="0" applyFont="1" applyBorder="1"/>
    <xf numFmtId="0" fontId="14" fillId="7" borderId="5" xfId="3" applyFont="1" applyFill="1" applyBorder="1" applyAlignment="1" applyProtection="1"/>
    <xf numFmtId="0" fontId="14" fillId="0" borderId="5" xfId="3" applyFont="1" applyFill="1" applyBorder="1" applyAlignment="1" applyProtection="1"/>
  </cellXfs>
  <cellStyles count="4">
    <cellStyle name="Komma" xfId="1" builtinId="3"/>
    <cellStyle name="Link" xfId="3" builtinId="8"/>
    <cellStyle name="Prozent" xfId="2" builtinId="5"/>
    <cellStyle name="Standard" xfId="0" builtinId="0"/>
  </cellStyles>
  <dxfs count="28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jpeg"/><Relationship Id="rId3" Type="http://schemas.openxmlformats.org/officeDocument/2006/relationships/image" Target="../media/image164.png"/><Relationship Id="rId7" Type="http://schemas.openxmlformats.org/officeDocument/2006/relationships/image" Target="../media/image168.jpeg"/><Relationship Id="rId12" Type="http://schemas.openxmlformats.org/officeDocument/2006/relationships/image" Target="../media/image173.PNG"/><Relationship Id="rId2" Type="http://schemas.openxmlformats.org/officeDocument/2006/relationships/image" Target="../media/image163.png"/><Relationship Id="rId1" Type="http://schemas.openxmlformats.org/officeDocument/2006/relationships/image" Target="../media/image162.png"/><Relationship Id="rId6" Type="http://schemas.openxmlformats.org/officeDocument/2006/relationships/image" Target="../media/image167.jpeg"/><Relationship Id="rId11" Type="http://schemas.openxmlformats.org/officeDocument/2006/relationships/image" Target="../media/image172.jpeg"/><Relationship Id="rId5" Type="http://schemas.openxmlformats.org/officeDocument/2006/relationships/image" Target="../media/image166.jpeg"/><Relationship Id="rId10" Type="http://schemas.openxmlformats.org/officeDocument/2006/relationships/image" Target="../media/image171.jpeg"/><Relationship Id="rId4" Type="http://schemas.openxmlformats.org/officeDocument/2006/relationships/image" Target="../media/image165.jpeg"/><Relationship Id="rId9" Type="http://schemas.openxmlformats.org/officeDocument/2006/relationships/image" Target="../media/image17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PNG"/><Relationship Id="rId13" Type="http://schemas.openxmlformats.org/officeDocument/2006/relationships/image" Target="../media/image185.PNG"/><Relationship Id="rId18" Type="http://schemas.openxmlformats.org/officeDocument/2006/relationships/image" Target="../media/image190.PNG"/><Relationship Id="rId26" Type="http://schemas.openxmlformats.org/officeDocument/2006/relationships/image" Target="../media/image198.PNG"/><Relationship Id="rId39" Type="http://schemas.openxmlformats.org/officeDocument/2006/relationships/image" Target="../media/image211.png"/><Relationship Id="rId3" Type="http://schemas.openxmlformats.org/officeDocument/2006/relationships/image" Target="../media/image175.PNG"/><Relationship Id="rId21" Type="http://schemas.openxmlformats.org/officeDocument/2006/relationships/image" Target="../media/image193.PNG"/><Relationship Id="rId34" Type="http://schemas.openxmlformats.org/officeDocument/2006/relationships/image" Target="../media/image206.png"/><Relationship Id="rId7" Type="http://schemas.openxmlformats.org/officeDocument/2006/relationships/image" Target="../media/image179.PNG"/><Relationship Id="rId12" Type="http://schemas.openxmlformats.org/officeDocument/2006/relationships/image" Target="../media/image184.PNG"/><Relationship Id="rId17" Type="http://schemas.openxmlformats.org/officeDocument/2006/relationships/image" Target="../media/image189.PNG"/><Relationship Id="rId25" Type="http://schemas.openxmlformats.org/officeDocument/2006/relationships/image" Target="../media/image197.PNG"/><Relationship Id="rId33" Type="http://schemas.openxmlformats.org/officeDocument/2006/relationships/image" Target="../media/image205.png"/><Relationship Id="rId38" Type="http://schemas.openxmlformats.org/officeDocument/2006/relationships/image" Target="../media/image210.png"/><Relationship Id="rId2" Type="http://schemas.openxmlformats.org/officeDocument/2006/relationships/image" Target="../media/image174.PNG"/><Relationship Id="rId16" Type="http://schemas.openxmlformats.org/officeDocument/2006/relationships/image" Target="../media/image188.PNG"/><Relationship Id="rId20" Type="http://schemas.openxmlformats.org/officeDocument/2006/relationships/image" Target="../media/image192.png"/><Relationship Id="rId29" Type="http://schemas.openxmlformats.org/officeDocument/2006/relationships/image" Target="../media/image201.PNG"/><Relationship Id="rId1" Type="http://schemas.openxmlformats.org/officeDocument/2006/relationships/image" Target="../media/image1.PNG"/><Relationship Id="rId6" Type="http://schemas.openxmlformats.org/officeDocument/2006/relationships/image" Target="../media/image178.PNG"/><Relationship Id="rId11" Type="http://schemas.openxmlformats.org/officeDocument/2006/relationships/image" Target="../media/image183.PNG"/><Relationship Id="rId24" Type="http://schemas.openxmlformats.org/officeDocument/2006/relationships/image" Target="../media/image196.PNG"/><Relationship Id="rId32" Type="http://schemas.openxmlformats.org/officeDocument/2006/relationships/image" Target="../media/image204.PNG"/><Relationship Id="rId37" Type="http://schemas.openxmlformats.org/officeDocument/2006/relationships/image" Target="../media/image209.png"/><Relationship Id="rId40" Type="http://schemas.openxmlformats.org/officeDocument/2006/relationships/image" Target="../media/image212.png"/><Relationship Id="rId5" Type="http://schemas.openxmlformats.org/officeDocument/2006/relationships/image" Target="../media/image177.PNG"/><Relationship Id="rId15" Type="http://schemas.openxmlformats.org/officeDocument/2006/relationships/image" Target="../media/image187.PNG"/><Relationship Id="rId23" Type="http://schemas.openxmlformats.org/officeDocument/2006/relationships/image" Target="../media/image195.PNG"/><Relationship Id="rId28" Type="http://schemas.openxmlformats.org/officeDocument/2006/relationships/image" Target="../media/image200.PNG"/><Relationship Id="rId36" Type="http://schemas.openxmlformats.org/officeDocument/2006/relationships/image" Target="../media/image208.png"/><Relationship Id="rId10" Type="http://schemas.openxmlformats.org/officeDocument/2006/relationships/image" Target="../media/image182.PNG"/><Relationship Id="rId19" Type="http://schemas.openxmlformats.org/officeDocument/2006/relationships/image" Target="../media/image191.PNG"/><Relationship Id="rId31" Type="http://schemas.openxmlformats.org/officeDocument/2006/relationships/image" Target="../media/image203.png"/><Relationship Id="rId4" Type="http://schemas.openxmlformats.org/officeDocument/2006/relationships/image" Target="../media/image176.PNG"/><Relationship Id="rId9" Type="http://schemas.openxmlformats.org/officeDocument/2006/relationships/image" Target="../media/image181.PNG"/><Relationship Id="rId14" Type="http://schemas.openxmlformats.org/officeDocument/2006/relationships/image" Target="../media/image186.PNG"/><Relationship Id="rId22" Type="http://schemas.openxmlformats.org/officeDocument/2006/relationships/image" Target="../media/image194.png"/><Relationship Id="rId27" Type="http://schemas.openxmlformats.org/officeDocument/2006/relationships/image" Target="../media/image199.PNG"/><Relationship Id="rId30" Type="http://schemas.openxmlformats.org/officeDocument/2006/relationships/image" Target="../media/image202.PNG"/><Relationship Id="rId35" Type="http://schemas.openxmlformats.org/officeDocument/2006/relationships/image" Target="../media/image20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microsoft.com/office/2007/relationships/hdphoto" Target="../media/hdphoto1.wdp"/><Relationship Id="rId1" Type="http://schemas.openxmlformats.org/officeDocument/2006/relationships/image" Target="../media/image3.jp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microsoft.com/office/2007/relationships/hdphoto" Target="../media/hdphoto6.wdp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" Type="http://schemas.openxmlformats.org/officeDocument/2006/relationships/image" Target="../media/image33.PNG"/><Relationship Id="rId21" Type="http://schemas.openxmlformats.org/officeDocument/2006/relationships/image" Target="../media/image45.PNG"/><Relationship Id="rId7" Type="http://schemas.microsoft.com/office/2007/relationships/hdphoto" Target="../media/hdphoto3.wdp"/><Relationship Id="rId12" Type="http://schemas.openxmlformats.org/officeDocument/2006/relationships/image" Target="../media/image39.png"/><Relationship Id="rId17" Type="http://schemas.microsoft.com/office/2007/relationships/hdphoto" Target="../media/hdphoto8.wdp"/><Relationship Id="rId25" Type="http://schemas.openxmlformats.org/officeDocument/2006/relationships/image" Target="../media/image49.PNG"/><Relationship Id="rId33" Type="http://schemas.openxmlformats.org/officeDocument/2006/relationships/image" Target="../media/image56.PNG"/><Relationship Id="rId2" Type="http://schemas.microsoft.com/office/2007/relationships/hdphoto" Target="../media/hdphoto2.wdp"/><Relationship Id="rId16" Type="http://schemas.openxmlformats.org/officeDocument/2006/relationships/image" Target="../media/image41.png"/><Relationship Id="rId20" Type="http://schemas.openxmlformats.org/officeDocument/2006/relationships/image" Target="../media/image44.PNG"/><Relationship Id="rId29" Type="http://schemas.openxmlformats.org/officeDocument/2006/relationships/image" Target="../media/image53.PNG"/><Relationship Id="rId1" Type="http://schemas.openxmlformats.org/officeDocument/2006/relationships/image" Target="../media/image32.png"/><Relationship Id="rId6" Type="http://schemas.openxmlformats.org/officeDocument/2006/relationships/image" Target="../media/image36.jpeg"/><Relationship Id="rId11" Type="http://schemas.microsoft.com/office/2007/relationships/hdphoto" Target="../media/hdphoto5.wdp"/><Relationship Id="rId24" Type="http://schemas.openxmlformats.org/officeDocument/2006/relationships/image" Target="../media/image48.PNG"/><Relationship Id="rId32" Type="http://schemas.microsoft.com/office/2007/relationships/hdphoto" Target="../media/hdphoto9.wdp"/><Relationship Id="rId5" Type="http://schemas.openxmlformats.org/officeDocument/2006/relationships/image" Target="../media/image35.PNG"/><Relationship Id="rId15" Type="http://schemas.microsoft.com/office/2007/relationships/hdphoto" Target="../media/hdphoto7.wdp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10" Type="http://schemas.openxmlformats.org/officeDocument/2006/relationships/image" Target="../media/image38.png"/><Relationship Id="rId19" Type="http://schemas.openxmlformats.org/officeDocument/2006/relationships/image" Target="../media/image43.PNG"/><Relationship Id="rId31" Type="http://schemas.openxmlformats.org/officeDocument/2006/relationships/image" Target="../media/image55.png"/><Relationship Id="rId4" Type="http://schemas.openxmlformats.org/officeDocument/2006/relationships/image" Target="../media/image34.PNG"/><Relationship Id="rId9" Type="http://schemas.microsoft.com/office/2007/relationships/hdphoto" Target="../media/hdphoto4.wdp"/><Relationship Id="rId14" Type="http://schemas.openxmlformats.org/officeDocument/2006/relationships/image" Target="../media/image40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56.PNG"/><Relationship Id="rId3" Type="http://schemas.openxmlformats.org/officeDocument/2006/relationships/image" Target="../media/image35.PNG"/><Relationship Id="rId21" Type="http://schemas.openxmlformats.org/officeDocument/2006/relationships/image" Target="../media/image74.PNG"/><Relationship Id="rId7" Type="http://schemas.openxmlformats.org/officeDocument/2006/relationships/image" Target="../media/image60.jp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34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33.PNG"/><Relationship Id="rId6" Type="http://schemas.openxmlformats.org/officeDocument/2006/relationships/image" Target="../media/image59.jp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jp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18" Type="http://schemas.openxmlformats.org/officeDocument/2006/relationships/image" Target="../media/image95.PNG"/><Relationship Id="rId3" Type="http://schemas.openxmlformats.org/officeDocument/2006/relationships/image" Target="../media/image80.PNG"/><Relationship Id="rId21" Type="http://schemas.openxmlformats.org/officeDocument/2006/relationships/image" Target="../media/image98.png"/><Relationship Id="rId7" Type="http://schemas.openxmlformats.org/officeDocument/2006/relationships/image" Target="../media/image84.PNG"/><Relationship Id="rId12" Type="http://schemas.openxmlformats.org/officeDocument/2006/relationships/image" Target="../media/image89.PNG"/><Relationship Id="rId17" Type="http://schemas.openxmlformats.org/officeDocument/2006/relationships/image" Target="../media/image94.PNG"/><Relationship Id="rId2" Type="http://schemas.microsoft.com/office/2007/relationships/hdphoto" Target="../media/hdphoto10.wdp"/><Relationship Id="rId16" Type="http://schemas.openxmlformats.org/officeDocument/2006/relationships/image" Target="../media/image93.PNG"/><Relationship Id="rId20" Type="http://schemas.openxmlformats.org/officeDocument/2006/relationships/image" Target="../media/image97.png"/><Relationship Id="rId1" Type="http://schemas.openxmlformats.org/officeDocument/2006/relationships/image" Target="../media/image79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5" Type="http://schemas.openxmlformats.org/officeDocument/2006/relationships/image" Target="../media/image82.PNG"/><Relationship Id="rId15" Type="http://schemas.openxmlformats.org/officeDocument/2006/relationships/image" Target="../media/image92.PNG"/><Relationship Id="rId10" Type="http://schemas.openxmlformats.org/officeDocument/2006/relationships/image" Target="../media/image87.PNG"/><Relationship Id="rId19" Type="http://schemas.openxmlformats.org/officeDocument/2006/relationships/image" Target="../media/image96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Relationship Id="rId14" Type="http://schemas.openxmlformats.org/officeDocument/2006/relationships/image" Target="../media/image9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11.png"/><Relationship Id="rId18" Type="http://schemas.openxmlformats.org/officeDocument/2006/relationships/image" Target="../media/image116.pn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12" Type="http://schemas.openxmlformats.org/officeDocument/2006/relationships/image" Target="../media/image110.png"/><Relationship Id="rId17" Type="http://schemas.openxmlformats.org/officeDocument/2006/relationships/image" Target="../media/image115.PNG"/><Relationship Id="rId2" Type="http://schemas.openxmlformats.org/officeDocument/2006/relationships/image" Target="../media/image100.png"/><Relationship Id="rId16" Type="http://schemas.openxmlformats.org/officeDocument/2006/relationships/image" Target="../media/image114.png"/><Relationship Id="rId1" Type="http://schemas.openxmlformats.org/officeDocument/2006/relationships/image" Target="../media/image99.png"/><Relationship Id="rId6" Type="http://schemas.openxmlformats.org/officeDocument/2006/relationships/image" Target="../media/image104.PNG"/><Relationship Id="rId11" Type="http://schemas.openxmlformats.org/officeDocument/2006/relationships/image" Target="../media/image109.png"/><Relationship Id="rId5" Type="http://schemas.openxmlformats.org/officeDocument/2006/relationships/image" Target="../media/image103.PNG"/><Relationship Id="rId15" Type="http://schemas.openxmlformats.org/officeDocument/2006/relationships/image" Target="../media/image113.PNG"/><Relationship Id="rId10" Type="http://schemas.openxmlformats.org/officeDocument/2006/relationships/image" Target="../media/image108.png"/><Relationship Id="rId4" Type="http://schemas.openxmlformats.org/officeDocument/2006/relationships/image" Target="../media/image102.PNG"/><Relationship Id="rId9" Type="http://schemas.openxmlformats.org/officeDocument/2006/relationships/image" Target="../media/image107.png"/><Relationship Id="rId14" Type="http://schemas.openxmlformats.org/officeDocument/2006/relationships/image" Target="../media/image1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PNG"/><Relationship Id="rId13" Type="http://schemas.openxmlformats.org/officeDocument/2006/relationships/image" Target="../media/image129.PNG"/><Relationship Id="rId18" Type="http://schemas.openxmlformats.org/officeDocument/2006/relationships/image" Target="../media/image134.PNG"/><Relationship Id="rId26" Type="http://schemas.openxmlformats.org/officeDocument/2006/relationships/image" Target="../media/image142.PNG"/><Relationship Id="rId3" Type="http://schemas.openxmlformats.org/officeDocument/2006/relationships/image" Target="../media/image119.PNG"/><Relationship Id="rId21" Type="http://schemas.openxmlformats.org/officeDocument/2006/relationships/image" Target="../media/image137.PN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png"/><Relationship Id="rId2" Type="http://schemas.openxmlformats.org/officeDocument/2006/relationships/image" Target="../media/image118.PNG"/><Relationship Id="rId16" Type="http://schemas.openxmlformats.org/officeDocument/2006/relationships/image" Target="../media/image132.PNG"/><Relationship Id="rId20" Type="http://schemas.openxmlformats.org/officeDocument/2006/relationships/image" Target="../media/image136.png"/><Relationship Id="rId29" Type="http://schemas.openxmlformats.org/officeDocument/2006/relationships/image" Target="../media/image145.png"/><Relationship Id="rId1" Type="http://schemas.openxmlformats.org/officeDocument/2006/relationships/image" Target="../media/image117.PN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24" Type="http://schemas.openxmlformats.org/officeDocument/2006/relationships/image" Target="../media/image140.png"/><Relationship Id="rId5" Type="http://schemas.openxmlformats.org/officeDocument/2006/relationships/image" Target="../media/image121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PN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PNG"/><Relationship Id="rId30" Type="http://schemas.openxmlformats.org/officeDocument/2006/relationships/image" Target="../media/image14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PNG"/><Relationship Id="rId13" Type="http://schemas.openxmlformats.org/officeDocument/2006/relationships/image" Target="../media/image159.PNG"/><Relationship Id="rId3" Type="http://schemas.openxmlformats.org/officeDocument/2006/relationships/image" Target="../media/image149.PNG"/><Relationship Id="rId7" Type="http://schemas.openxmlformats.org/officeDocument/2006/relationships/image" Target="../media/image153.PNG"/><Relationship Id="rId12" Type="http://schemas.openxmlformats.org/officeDocument/2006/relationships/image" Target="../media/image158.PNG"/><Relationship Id="rId2" Type="http://schemas.openxmlformats.org/officeDocument/2006/relationships/image" Target="../media/image148.PNG"/><Relationship Id="rId1" Type="http://schemas.openxmlformats.org/officeDocument/2006/relationships/image" Target="../media/image147.PNG"/><Relationship Id="rId6" Type="http://schemas.openxmlformats.org/officeDocument/2006/relationships/image" Target="../media/image152.PNG"/><Relationship Id="rId11" Type="http://schemas.openxmlformats.org/officeDocument/2006/relationships/image" Target="../media/image157.PNG"/><Relationship Id="rId5" Type="http://schemas.openxmlformats.org/officeDocument/2006/relationships/image" Target="../media/image151.PNG"/><Relationship Id="rId15" Type="http://schemas.openxmlformats.org/officeDocument/2006/relationships/image" Target="../media/image161.PNG"/><Relationship Id="rId10" Type="http://schemas.openxmlformats.org/officeDocument/2006/relationships/image" Target="../media/image156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Relationship Id="rId14" Type="http://schemas.openxmlformats.org/officeDocument/2006/relationships/image" Target="../media/image16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1847271</xdr:colOff>
      <xdr:row>0</xdr:row>
      <xdr:rowOff>0</xdr:rowOff>
    </xdr:from>
    <xdr:ext cx="665127" cy="407391"/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8143" y="0"/>
          <a:ext cx="665127" cy="407391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76202</xdr:colOff>
      <xdr:row>1</xdr:row>
      <xdr:rowOff>70757</xdr:rowOff>
    </xdr:from>
    <xdr:to>
      <xdr:col>0</xdr:col>
      <xdr:colOff>390536</xdr:colOff>
      <xdr:row>12</xdr:row>
      <xdr:rowOff>49052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55CFE19C-EBCE-176A-A664-EE1A3082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2" y="152400"/>
          <a:ext cx="314334" cy="17417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3</xdr:row>
      <xdr:rowOff>45201</xdr:rowOff>
    </xdr:from>
    <xdr:to>
      <xdr:col>0</xdr:col>
      <xdr:colOff>810986</xdr:colOff>
      <xdr:row>14</xdr:row>
      <xdr:rowOff>217783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65A8194-05DC-7A26-B826-8EC5C916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442530"/>
          <a:ext cx="353785" cy="1783667"/>
        </a:xfrm>
        <a:prstGeom prst="rect">
          <a:avLst/>
        </a:prstGeom>
      </xdr:spPr>
    </xdr:pic>
    <xdr:clientData/>
  </xdr:twoCellAnchor>
  <xdr:twoCellAnchor editAs="oneCell">
    <xdr:from>
      <xdr:col>0</xdr:col>
      <xdr:colOff>827315</xdr:colOff>
      <xdr:row>7</xdr:row>
      <xdr:rowOff>43543</xdr:rowOff>
    </xdr:from>
    <xdr:to>
      <xdr:col>0</xdr:col>
      <xdr:colOff>1062447</xdr:colOff>
      <xdr:row>18</xdr:row>
      <xdr:rowOff>108926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9D9324CD-66D1-F786-BE6E-A9655F4A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5" y="1006929"/>
          <a:ext cx="235132" cy="176355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</xdr:colOff>
      <xdr:row>19</xdr:row>
      <xdr:rowOff>136072</xdr:rowOff>
    </xdr:from>
    <xdr:to>
      <xdr:col>0</xdr:col>
      <xdr:colOff>1097641</xdr:colOff>
      <xdr:row>25</xdr:row>
      <xdr:rowOff>134256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8110B390-231A-4D1C-9A0A-0A7009C6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" y="2955472"/>
          <a:ext cx="1037770" cy="1037770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25</xdr:row>
      <xdr:rowOff>123369</xdr:rowOff>
    </xdr:from>
    <xdr:to>
      <xdr:col>0</xdr:col>
      <xdr:colOff>1039586</xdr:colOff>
      <xdr:row>31</xdr:row>
      <xdr:rowOff>85270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EBAC635-CAA1-6559-B33E-B7454E04C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982355"/>
          <a:ext cx="941615" cy="94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43</xdr:row>
      <xdr:rowOff>146956</xdr:rowOff>
    </xdr:from>
    <xdr:to>
      <xdr:col>0</xdr:col>
      <xdr:colOff>1026886</xdr:colOff>
      <xdr:row>50</xdr:row>
      <xdr:rowOff>68941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C263E8F1-16FE-62F0-329E-0F80704C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6934199"/>
          <a:ext cx="999671" cy="999671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37</xdr:row>
      <xdr:rowOff>199571</xdr:rowOff>
    </xdr:from>
    <xdr:to>
      <xdr:col>0</xdr:col>
      <xdr:colOff>1034142</xdr:colOff>
      <xdr:row>43</xdr:row>
      <xdr:rowOff>36284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6435F749-CF93-A4C8-6E14-F8B9EC00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3" y="5947228"/>
          <a:ext cx="876299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31</xdr:row>
      <xdr:rowOff>48984</xdr:rowOff>
    </xdr:from>
    <xdr:to>
      <xdr:col>0</xdr:col>
      <xdr:colOff>1083128</xdr:colOff>
      <xdr:row>37</xdr:row>
      <xdr:rowOff>212270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1D950061-D5A1-59CC-3B3D-522BC9E2A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4887684"/>
          <a:ext cx="1072243" cy="10722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</xdr:colOff>
      <xdr:row>50</xdr:row>
      <xdr:rowOff>223157</xdr:rowOff>
    </xdr:from>
    <xdr:to>
      <xdr:col>0</xdr:col>
      <xdr:colOff>1061620</xdr:colOff>
      <xdr:row>54</xdr:row>
      <xdr:rowOff>10886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E1D27F6B-833A-1D44-44A0-B0E191FB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9" y="8088086"/>
          <a:ext cx="1045291" cy="4408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21770</xdr:rowOff>
    </xdr:from>
    <xdr:to>
      <xdr:col>0</xdr:col>
      <xdr:colOff>1164771</xdr:colOff>
      <xdr:row>65</xdr:row>
      <xdr:rowOff>81641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19DDA087-3A12-A226-A29D-D2F38CD8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323613"/>
          <a:ext cx="1126671" cy="1126671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66</xdr:row>
      <xdr:rowOff>65313</xdr:rowOff>
    </xdr:from>
    <xdr:to>
      <xdr:col>0</xdr:col>
      <xdr:colOff>1023257</xdr:colOff>
      <xdr:row>72</xdr:row>
      <xdr:rowOff>21770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C4EFFA14-6137-BA06-8031-0BBCC6C8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10531927"/>
          <a:ext cx="925286" cy="92528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38101</xdr:colOff>
      <xdr:row>0</xdr:row>
      <xdr:rowOff>43544</xdr:rowOff>
    </xdr:from>
    <xdr:to>
      <xdr:col>13</xdr:col>
      <xdr:colOff>391886</xdr:colOff>
      <xdr:row>3</xdr:row>
      <xdr:rowOff>62773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03BB086-6752-483A-790A-83661F82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558" y="43544"/>
          <a:ext cx="1202871" cy="4165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49578</xdr:rowOff>
    </xdr:from>
    <xdr:to>
      <xdr:col>12</xdr:col>
      <xdr:colOff>378537</xdr:colOff>
      <xdr:row>4</xdr:row>
      <xdr:rowOff>5904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297" y="49578"/>
          <a:ext cx="710551" cy="424412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14</xdr:row>
      <xdr:rowOff>91439</xdr:rowOff>
    </xdr:from>
    <xdr:to>
      <xdr:col>0</xdr:col>
      <xdr:colOff>1250039</xdr:colOff>
      <xdr:row>16</xdr:row>
      <xdr:rowOff>50468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2252748"/>
          <a:ext cx="1200162" cy="340822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38</xdr:row>
      <xdr:rowOff>33251</xdr:rowOff>
    </xdr:from>
    <xdr:to>
      <xdr:col>0</xdr:col>
      <xdr:colOff>1220805</xdr:colOff>
      <xdr:row>41</xdr:row>
      <xdr:rowOff>9033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3175462"/>
          <a:ext cx="1154303" cy="515514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20</xdr:row>
      <xdr:rowOff>44926</xdr:rowOff>
    </xdr:from>
    <xdr:to>
      <xdr:col>0</xdr:col>
      <xdr:colOff>1238597</xdr:colOff>
      <xdr:row>22</xdr:row>
      <xdr:rowOff>108767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4010097"/>
          <a:ext cx="1138844" cy="445635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26</xdr:row>
      <xdr:rowOff>65893</xdr:rowOff>
    </xdr:from>
    <xdr:to>
      <xdr:col>0</xdr:col>
      <xdr:colOff>1213658</xdr:colOff>
      <xdr:row>29</xdr:row>
      <xdr:rowOff>42271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4837398"/>
          <a:ext cx="1130531" cy="516112"/>
        </a:xfrm>
        <a:prstGeom prst="rect">
          <a:avLst/>
        </a:prstGeom>
      </xdr:spPr>
    </xdr:pic>
    <xdr:clientData/>
  </xdr:twoCellAnchor>
  <xdr:twoCellAnchor editAs="oneCell">
    <xdr:from>
      <xdr:col>0</xdr:col>
      <xdr:colOff>24939</xdr:colOff>
      <xdr:row>44</xdr:row>
      <xdr:rowOff>150559</xdr:rowOff>
    </xdr:from>
    <xdr:to>
      <xdr:col>0</xdr:col>
      <xdr:colOff>1246910</xdr:colOff>
      <xdr:row>47</xdr:row>
      <xdr:rowOff>75519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" y="5736712"/>
          <a:ext cx="1221971" cy="464693"/>
        </a:xfrm>
        <a:prstGeom prst="rect">
          <a:avLst/>
        </a:prstGeom>
      </xdr:spPr>
    </xdr:pic>
    <xdr:clientData/>
  </xdr:twoCellAnchor>
  <xdr:twoCellAnchor editAs="oneCell">
    <xdr:from>
      <xdr:col>0</xdr:col>
      <xdr:colOff>41564</xdr:colOff>
      <xdr:row>49</xdr:row>
      <xdr:rowOff>124691</xdr:rowOff>
    </xdr:from>
    <xdr:to>
      <xdr:col>0</xdr:col>
      <xdr:colOff>1222259</xdr:colOff>
      <xdr:row>54</xdr:row>
      <xdr:rowOff>33382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6533804"/>
          <a:ext cx="1180695" cy="532144"/>
        </a:xfrm>
        <a:prstGeom prst="rect">
          <a:avLst/>
        </a:prstGeom>
      </xdr:spPr>
    </xdr:pic>
    <xdr:clientData/>
  </xdr:twoCellAnchor>
  <xdr:twoCellAnchor editAs="oneCell">
    <xdr:from>
      <xdr:col>0</xdr:col>
      <xdr:colOff>66501</xdr:colOff>
      <xdr:row>56</xdr:row>
      <xdr:rowOff>24938</xdr:rowOff>
    </xdr:from>
    <xdr:to>
      <xdr:col>0</xdr:col>
      <xdr:colOff>1241246</xdr:colOff>
      <xdr:row>60</xdr:row>
      <xdr:rowOff>8412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" y="7373389"/>
          <a:ext cx="1174745" cy="448986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72</xdr:row>
      <xdr:rowOff>93199</xdr:rowOff>
    </xdr:from>
    <xdr:to>
      <xdr:col>0</xdr:col>
      <xdr:colOff>1197032</xdr:colOff>
      <xdr:row>76</xdr:row>
      <xdr:rowOff>25686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8538930"/>
          <a:ext cx="1088966" cy="630163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64</xdr:row>
      <xdr:rowOff>42704</xdr:rowOff>
    </xdr:from>
    <xdr:to>
      <xdr:col>0</xdr:col>
      <xdr:colOff>1113906</xdr:colOff>
      <xdr:row>67</xdr:row>
      <xdr:rowOff>33846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8488435"/>
          <a:ext cx="1005840" cy="530874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67</xdr:row>
      <xdr:rowOff>141318</xdr:rowOff>
    </xdr:from>
    <xdr:to>
      <xdr:col>0</xdr:col>
      <xdr:colOff>1113906</xdr:colOff>
      <xdr:row>71</xdr:row>
      <xdr:rowOff>66501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9094125"/>
          <a:ext cx="1030778" cy="490450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</xdr:colOff>
      <xdr:row>78</xdr:row>
      <xdr:rowOff>145579</xdr:rowOff>
    </xdr:from>
    <xdr:to>
      <xdr:col>0</xdr:col>
      <xdr:colOff>1205344</xdr:colOff>
      <xdr:row>80</xdr:row>
      <xdr:rowOff>75408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1" y="10652866"/>
          <a:ext cx="1172093" cy="311621"/>
        </a:xfrm>
        <a:prstGeom prst="rect">
          <a:avLst/>
        </a:prstGeom>
      </xdr:spPr>
    </xdr:pic>
    <xdr:clientData/>
  </xdr:twoCellAnchor>
  <xdr:twoCellAnchor editAs="oneCell">
    <xdr:from>
      <xdr:col>0</xdr:col>
      <xdr:colOff>49878</xdr:colOff>
      <xdr:row>83</xdr:row>
      <xdr:rowOff>41563</xdr:rowOff>
    </xdr:from>
    <xdr:to>
      <xdr:col>0</xdr:col>
      <xdr:colOff>1266750</xdr:colOff>
      <xdr:row>87</xdr:row>
      <xdr:rowOff>17310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8" y="11355185"/>
          <a:ext cx="1216872" cy="590295"/>
        </a:xfrm>
        <a:prstGeom prst="rect">
          <a:avLst/>
        </a:prstGeom>
      </xdr:spPr>
    </xdr:pic>
    <xdr:clientData/>
  </xdr:twoCellAnchor>
  <xdr:twoCellAnchor editAs="oneCell">
    <xdr:from>
      <xdr:col>0</xdr:col>
      <xdr:colOff>41565</xdr:colOff>
      <xdr:row>90</xdr:row>
      <xdr:rowOff>66502</xdr:rowOff>
    </xdr:from>
    <xdr:to>
      <xdr:col>0</xdr:col>
      <xdr:colOff>1210617</xdr:colOff>
      <xdr:row>93</xdr:row>
      <xdr:rowOff>50565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5" y="12269586"/>
          <a:ext cx="1169052" cy="523796"/>
        </a:xfrm>
        <a:prstGeom prst="rect">
          <a:avLst/>
        </a:prstGeom>
      </xdr:spPr>
    </xdr:pic>
    <xdr:clientData/>
  </xdr:twoCellAnchor>
  <xdr:twoCellAnchor editAs="oneCell">
    <xdr:from>
      <xdr:col>0</xdr:col>
      <xdr:colOff>91439</xdr:colOff>
      <xdr:row>95</xdr:row>
      <xdr:rowOff>83127</xdr:rowOff>
    </xdr:from>
    <xdr:to>
      <xdr:col>0</xdr:col>
      <xdr:colOff>1215571</xdr:colOff>
      <xdr:row>100</xdr:row>
      <xdr:rowOff>49212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" y="13109171"/>
          <a:ext cx="1124132" cy="814873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102</xdr:row>
      <xdr:rowOff>15812</xdr:rowOff>
    </xdr:from>
    <xdr:to>
      <xdr:col>0</xdr:col>
      <xdr:colOff>1238596</xdr:colOff>
      <xdr:row>107</xdr:row>
      <xdr:rowOff>9060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4014445"/>
          <a:ext cx="1180407" cy="782363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108</xdr:row>
      <xdr:rowOff>33252</xdr:rowOff>
    </xdr:from>
    <xdr:to>
      <xdr:col>0</xdr:col>
      <xdr:colOff>1253456</xdr:colOff>
      <xdr:row>112</xdr:row>
      <xdr:rowOff>726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4879783"/>
          <a:ext cx="1195267" cy="665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99754</xdr:rowOff>
    </xdr:from>
    <xdr:to>
      <xdr:col>0</xdr:col>
      <xdr:colOff>1226462</xdr:colOff>
      <xdr:row>120</xdr:row>
      <xdr:rowOff>42294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6816"/>
          <a:ext cx="1226462" cy="640214"/>
        </a:xfrm>
        <a:prstGeom prst="rect">
          <a:avLst/>
        </a:prstGeom>
      </xdr:spPr>
    </xdr:pic>
    <xdr:clientData/>
  </xdr:twoCellAnchor>
  <xdr:twoCellAnchor editAs="oneCell">
    <xdr:from>
      <xdr:col>0</xdr:col>
      <xdr:colOff>340822</xdr:colOff>
      <xdr:row>128</xdr:row>
      <xdr:rowOff>374072</xdr:rowOff>
    </xdr:from>
    <xdr:to>
      <xdr:col>0</xdr:col>
      <xdr:colOff>931026</xdr:colOff>
      <xdr:row>134</xdr:row>
      <xdr:rowOff>52434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22" y="18396065"/>
          <a:ext cx="590204" cy="817206"/>
        </a:xfrm>
        <a:prstGeom prst="rect">
          <a:avLst/>
        </a:prstGeom>
      </xdr:spPr>
    </xdr:pic>
    <xdr:clientData/>
  </xdr:twoCellAnchor>
  <xdr:twoCellAnchor editAs="oneCell">
    <xdr:from>
      <xdr:col>0</xdr:col>
      <xdr:colOff>8313</xdr:colOff>
      <xdr:row>134</xdr:row>
      <xdr:rowOff>249380</xdr:rowOff>
    </xdr:from>
    <xdr:to>
      <xdr:col>0</xdr:col>
      <xdr:colOff>1176442</xdr:colOff>
      <xdr:row>137</xdr:row>
      <xdr:rowOff>33410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" y="18196558"/>
          <a:ext cx="1168129" cy="465673"/>
        </a:xfrm>
        <a:prstGeom prst="rect">
          <a:avLst/>
        </a:prstGeom>
      </xdr:spPr>
    </xdr:pic>
    <xdr:clientData/>
  </xdr:twoCellAnchor>
  <xdr:twoCellAnchor editAs="oneCell">
    <xdr:from>
      <xdr:col>0</xdr:col>
      <xdr:colOff>79889</xdr:colOff>
      <xdr:row>141</xdr:row>
      <xdr:rowOff>42973</xdr:rowOff>
    </xdr:from>
    <xdr:to>
      <xdr:col>0</xdr:col>
      <xdr:colOff>1235630</xdr:colOff>
      <xdr:row>142</xdr:row>
      <xdr:rowOff>88076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83881">
          <a:off x="79889" y="19345126"/>
          <a:ext cx="1155741" cy="203046"/>
        </a:xfrm>
        <a:prstGeom prst="rect">
          <a:avLst/>
        </a:prstGeom>
      </xdr:spPr>
    </xdr:pic>
    <xdr:clientData/>
  </xdr:twoCellAnchor>
  <xdr:twoCellAnchor editAs="oneCell">
    <xdr:from>
      <xdr:col>0</xdr:col>
      <xdr:colOff>71569</xdr:colOff>
      <xdr:row>146</xdr:row>
      <xdr:rowOff>354338</xdr:rowOff>
    </xdr:from>
    <xdr:to>
      <xdr:col>0</xdr:col>
      <xdr:colOff>1226667</xdr:colOff>
      <xdr:row>148</xdr:row>
      <xdr:rowOff>107542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14269">
          <a:off x="71569" y="20279945"/>
          <a:ext cx="1155098" cy="276907"/>
        </a:xfrm>
        <a:prstGeom prst="rect">
          <a:avLst/>
        </a:prstGeom>
      </xdr:spPr>
    </xdr:pic>
    <xdr:clientData/>
  </xdr:twoCellAnchor>
  <xdr:twoCellAnchor editAs="oneCell">
    <xdr:from>
      <xdr:col>0</xdr:col>
      <xdr:colOff>409987</xdr:colOff>
      <xdr:row>152</xdr:row>
      <xdr:rowOff>203196</xdr:rowOff>
    </xdr:from>
    <xdr:to>
      <xdr:col>0</xdr:col>
      <xdr:colOff>954824</xdr:colOff>
      <xdr:row>156</xdr:row>
      <xdr:rowOff>55134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219801">
          <a:off x="336644" y="21191361"/>
          <a:ext cx="691523" cy="54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158</xdr:row>
      <xdr:rowOff>116379</xdr:rowOff>
    </xdr:from>
    <xdr:to>
      <xdr:col>0</xdr:col>
      <xdr:colOff>1217794</xdr:colOff>
      <xdr:row>162</xdr:row>
      <xdr:rowOff>50024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22020415"/>
          <a:ext cx="1109729" cy="77323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</xdr:colOff>
      <xdr:row>164</xdr:row>
      <xdr:rowOff>149630</xdr:rowOff>
    </xdr:from>
    <xdr:to>
      <xdr:col>0</xdr:col>
      <xdr:colOff>1221971</xdr:colOff>
      <xdr:row>167</xdr:row>
      <xdr:rowOff>99880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" y="23209135"/>
          <a:ext cx="1197033" cy="631893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125</xdr:row>
      <xdr:rowOff>91440</xdr:rowOff>
    </xdr:from>
    <xdr:to>
      <xdr:col>0</xdr:col>
      <xdr:colOff>1197032</xdr:colOff>
      <xdr:row>128</xdr:row>
      <xdr:rowOff>130233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17639607"/>
          <a:ext cx="1147156" cy="512619"/>
        </a:xfrm>
        <a:prstGeom prst="rect">
          <a:avLst/>
        </a:prstGeom>
      </xdr:spPr>
    </xdr:pic>
    <xdr:clientData/>
  </xdr:twoCellAnchor>
  <xdr:twoCellAnchor editAs="oneCell">
    <xdr:from>
      <xdr:col>0</xdr:col>
      <xdr:colOff>83129</xdr:colOff>
      <xdr:row>122</xdr:row>
      <xdr:rowOff>58188</xdr:rowOff>
    </xdr:from>
    <xdr:to>
      <xdr:col>0</xdr:col>
      <xdr:colOff>1213971</xdr:colOff>
      <xdr:row>124</xdr:row>
      <xdr:rowOff>125295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9" y="17099279"/>
          <a:ext cx="1130842" cy="448997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60</xdr:row>
      <xdr:rowOff>124689</xdr:rowOff>
    </xdr:from>
    <xdr:to>
      <xdr:col>0</xdr:col>
      <xdr:colOff>1201127</xdr:colOff>
      <xdr:row>63</xdr:row>
      <xdr:rowOff>74932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7938653"/>
          <a:ext cx="1117999" cy="42406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2</xdr:row>
      <xdr:rowOff>24938</xdr:rowOff>
    </xdr:from>
    <xdr:to>
      <xdr:col>0</xdr:col>
      <xdr:colOff>1244053</xdr:colOff>
      <xdr:row>4</xdr:row>
      <xdr:rowOff>197723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74567"/>
          <a:ext cx="118586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8</xdr:row>
      <xdr:rowOff>71645</xdr:rowOff>
    </xdr:from>
    <xdr:to>
      <xdr:col>0</xdr:col>
      <xdr:colOff>1205345</xdr:colOff>
      <xdr:row>10</xdr:row>
      <xdr:rowOff>67200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1235427"/>
          <a:ext cx="1097280" cy="37734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62</xdr:row>
      <xdr:rowOff>0</xdr:rowOff>
    </xdr:from>
    <xdr:to>
      <xdr:col>0</xdr:col>
      <xdr:colOff>886504</xdr:colOff>
      <xdr:row>63</xdr:row>
      <xdr:rowOff>133111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8113222"/>
          <a:ext cx="429304" cy="291054"/>
        </a:xfrm>
        <a:prstGeom prst="rect">
          <a:avLst/>
        </a:prstGeom>
      </xdr:spPr>
    </xdr:pic>
    <xdr:clientData/>
  </xdr:twoCellAnchor>
  <xdr:twoCellAnchor editAs="oneCell">
    <xdr:from>
      <xdr:col>0</xdr:col>
      <xdr:colOff>5443</xdr:colOff>
      <xdr:row>32</xdr:row>
      <xdr:rowOff>130628</xdr:rowOff>
    </xdr:from>
    <xdr:to>
      <xdr:col>0</xdr:col>
      <xdr:colOff>1268186</xdr:colOff>
      <xdr:row>34</xdr:row>
      <xdr:rowOff>152400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F98B2BB-3F8D-43D9-923D-CA0E6C4F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" y="5214257"/>
          <a:ext cx="1262743" cy="408215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</xdr:colOff>
      <xdr:row>170</xdr:row>
      <xdr:rowOff>81644</xdr:rowOff>
    </xdr:from>
    <xdr:to>
      <xdr:col>0</xdr:col>
      <xdr:colOff>1221265</xdr:colOff>
      <xdr:row>174</xdr:row>
      <xdr:rowOff>114301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8BBFB3E-D85D-EC49-E4CE-1D44DF4C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" y="27290487"/>
          <a:ext cx="1161394" cy="859971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176</xdr:row>
      <xdr:rowOff>103415</xdr:rowOff>
    </xdr:from>
    <xdr:to>
      <xdr:col>0</xdr:col>
      <xdr:colOff>1116232</xdr:colOff>
      <xdr:row>179</xdr:row>
      <xdr:rowOff>141516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E53FE7D-62BA-BC61-FBAB-CE323F9A9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8379058"/>
          <a:ext cx="1029146" cy="8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152400</xdr:rowOff>
    </xdr:from>
    <xdr:to>
      <xdr:col>0</xdr:col>
      <xdr:colOff>1280626</xdr:colOff>
      <xdr:row>184</xdr:row>
      <xdr:rowOff>157842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84156FA-9304-C1F0-0BAC-6515C9C5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38386"/>
          <a:ext cx="128062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188</xdr:row>
      <xdr:rowOff>127634</xdr:rowOff>
    </xdr:from>
    <xdr:to>
      <xdr:col>0</xdr:col>
      <xdr:colOff>1191987</xdr:colOff>
      <xdr:row>192</xdr:row>
      <xdr:rowOff>10971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0898E05-D5F7-2D0B-2195-FB4A37BB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30498777"/>
          <a:ext cx="1061358" cy="83583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194</xdr:row>
      <xdr:rowOff>16329</xdr:rowOff>
    </xdr:from>
    <xdr:to>
      <xdr:col>0</xdr:col>
      <xdr:colOff>1166825</xdr:colOff>
      <xdr:row>199</xdr:row>
      <xdr:rowOff>76304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5C98D2A-CBB0-6CE8-D68D-21A494A6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31525029"/>
          <a:ext cx="949110" cy="110500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200</xdr:row>
      <xdr:rowOff>168729</xdr:rowOff>
    </xdr:from>
    <xdr:to>
      <xdr:col>0</xdr:col>
      <xdr:colOff>1293972</xdr:colOff>
      <xdr:row>202</xdr:row>
      <xdr:rowOff>59872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8D36C3ED-16F7-58C3-BFCD-9A9A5F55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2814986"/>
          <a:ext cx="1261315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21771</xdr:rowOff>
    </xdr:from>
    <xdr:to>
      <xdr:col>0</xdr:col>
      <xdr:colOff>1249028</xdr:colOff>
      <xdr:row>204</xdr:row>
      <xdr:rowOff>152400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4F321B7-F470-97A5-A85E-D7B48042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90542"/>
          <a:ext cx="1249028" cy="446315"/>
        </a:xfrm>
        <a:prstGeom prst="rect">
          <a:avLst/>
        </a:prstGeom>
      </xdr:spPr>
    </xdr:pic>
    <xdr:clientData/>
  </xdr:twoCellAnchor>
  <xdr:twoCellAnchor editAs="oneCell">
    <xdr:from>
      <xdr:col>8</xdr:col>
      <xdr:colOff>397329</xdr:colOff>
      <xdr:row>163</xdr:row>
      <xdr:rowOff>81643</xdr:rowOff>
    </xdr:from>
    <xdr:to>
      <xdr:col>12</xdr:col>
      <xdr:colOff>375559</xdr:colOff>
      <xdr:row>164</xdr:row>
      <xdr:rowOff>310129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2C82AE-F0B9-4E68-A222-5E0CE6CB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4629" y="25962429"/>
          <a:ext cx="974273" cy="533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</xdr:colOff>
      <xdr:row>0</xdr:row>
      <xdr:rowOff>0</xdr:rowOff>
    </xdr:from>
    <xdr:to>
      <xdr:col>0</xdr:col>
      <xdr:colOff>972589</xdr:colOff>
      <xdr:row>3</xdr:row>
      <xdr:rowOff>275013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" y="0"/>
          <a:ext cx="955964" cy="955964"/>
        </a:xfrm>
        <a:prstGeom prst="rect">
          <a:avLst/>
        </a:prstGeom>
      </xdr:spPr>
    </xdr:pic>
    <xdr:clientData/>
  </xdr:twoCellAnchor>
  <xdr:twoCellAnchor editAs="oneCell">
    <xdr:from>
      <xdr:col>0</xdr:col>
      <xdr:colOff>41564</xdr:colOff>
      <xdr:row>48</xdr:row>
      <xdr:rowOff>33252</xdr:rowOff>
    </xdr:from>
    <xdr:to>
      <xdr:col>0</xdr:col>
      <xdr:colOff>1022466</xdr:colOff>
      <xdr:row>52</xdr:row>
      <xdr:rowOff>91441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8370917"/>
          <a:ext cx="980902" cy="98090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150</xdr:row>
      <xdr:rowOff>49877</xdr:rowOff>
    </xdr:from>
    <xdr:to>
      <xdr:col>0</xdr:col>
      <xdr:colOff>971041</xdr:colOff>
      <xdr:row>154</xdr:row>
      <xdr:rowOff>71648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25786081"/>
          <a:ext cx="879600" cy="897774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138</xdr:row>
      <xdr:rowOff>108066</xdr:rowOff>
    </xdr:from>
    <xdr:to>
      <xdr:col>0</xdr:col>
      <xdr:colOff>1080655</xdr:colOff>
      <xdr:row>142</xdr:row>
      <xdr:rowOff>85319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23799339"/>
          <a:ext cx="906088" cy="85325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160</xdr:row>
      <xdr:rowOff>58189</xdr:rowOff>
    </xdr:from>
    <xdr:to>
      <xdr:col>0</xdr:col>
      <xdr:colOff>1014152</xdr:colOff>
      <xdr:row>162</xdr:row>
      <xdr:rowOff>215002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7382124"/>
          <a:ext cx="922712" cy="599763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171</xdr:row>
      <xdr:rowOff>24938</xdr:rowOff>
    </xdr:from>
    <xdr:to>
      <xdr:col>0</xdr:col>
      <xdr:colOff>1011886</xdr:colOff>
      <xdr:row>175</xdr:row>
      <xdr:rowOff>149627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9194298"/>
          <a:ext cx="912133" cy="590204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203</xdr:row>
      <xdr:rowOff>108065</xdr:rowOff>
    </xdr:from>
    <xdr:to>
      <xdr:col>0</xdr:col>
      <xdr:colOff>997657</xdr:colOff>
      <xdr:row>206</xdr:row>
      <xdr:rowOff>34528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32419636"/>
          <a:ext cx="798152" cy="532102"/>
        </a:xfrm>
        <a:prstGeom prst="rect">
          <a:avLst/>
        </a:prstGeom>
      </xdr:spPr>
    </xdr:pic>
    <xdr:clientData/>
  </xdr:twoCellAnchor>
  <xdr:twoCellAnchor editAs="oneCell">
    <xdr:from>
      <xdr:col>0</xdr:col>
      <xdr:colOff>179713</xdr:colOff>
      <xdr:row>192</xdr:row>
      <xdr:rowOff>43543</xdr:rowOff>
    </xdr:from>
    <xdr:to>
      <xdr:col>0</xdr:col>
      <xdr:colOff>1002808</xdr:colOff>
      <xdr:row>194</xdr:row>
      <xdr:rowOff>111316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13" y="33702172"/>
          <a:ext cx="823095" cy="524973"/>
        </a:xfrm>
        <a:prstGeom prst="rect">
          <a:avLst/>
        </a:prstGeom>
      </xdr:spPr>
    </xdr:pic>
    <xdr:clientData/>
  </xdr:twoCellAnchor>
  <xdr:twoCellAnchor editAs="oneCell">
    <xdr:from>
      <xdr:col>0</xdr:col>
      <xdr:colOff>66501</xdr:colOff>
      <xdr:row>216</xdr:row>
      <xdr:rowOff>41563</xdr:rowOff>
    </xdr:from>
    <xdr:to>
      <xdr:col>0</xdr:col>
      <xdr:colOff>1034555</xdr:colOff>
      <xdr:row>218</xdr:row>
      <xdr:rowOff>68182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" y="34589258"/>
          <a:ext cx="968054" cy="507076"/>
        </a:xfrm>
        <a:prstGeom prst="rect">
          <a:avLst/>
        </a:prstGeom>
      </xdr:spPr>
    </xdr:pic>
    <xdr:clientData/>
  </xdr:twoCellAnchor>
  <xdr:twoCellAnchor editAs="oneCell">
    <xdr:from>
      <xdr:col>0</xdr:col>
      <xdr:colOff>74814</xdr:colOff>
      <xdr:row>224</xdr:row>
      <xdr:rowOff>16627</xdr:rowOff>
    </xdr:from>
    <xdr:to>
      <xdr:col>0</xdr:col>
      <xdr:colOff>1022465</xdr:colOff>
      <xdr:row>226</xdr:row>
      <xdr:rowOff>66321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4" y="35927609"/>
          <a:ext cx="947651" cy="502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41564</xdr:rowOff>
    </xdr:from>
    <xdr:to>
      <xdr:col>0</xdr:col>
      <xdr:colOff>1086592</xdr:colOff>
      <xdr:row>234</xdr:row>
      <xdr:rowOff>73630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15833"/>
          <a:ext cx="1086592" cy="507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1039091</xdr:colOff>
      <xdr:row>242</xdr:row>
      <xdr:rowOff>108855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37556"/>
          <a:ext cx="1039091" cy="583870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252</xdr:row>
      <xdr:rowOff>58189</xdr:rowOff>
    </xdr:from>
    <xdr:to>
      <xdr:col>0</xdr:col>
      <xdr:colOff>1022604</xdr:colOff>
      <xdr:row>257</xdr:row>
      <xdr:rowOff>68946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0657549"/>
          <a:ext cx="848037" cy="1030947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263</xdr:row>
      <xdr:rowOff>157941</xdr:rowOff>
    </xdr:from>
    <xdr:to>
      <xdr:col>0</xdr:col>
      <xdr:colOff>1005979</xdr:colOff>
      <xdr:row>269</xdr:row>
      <xdr:rowOff>19677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42627665"/>
          <a:ext cx="848037" cy="1105774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273</xdr:row>
      <xdr:rowOff>133004</xdr:rowOff>
    </xdr:from>
    <xdr:to>
      <xdr:col>0</xdr:col>
      <xdr:colOff>997662</xdr:colOff>
      <xdr:row>280</xdr:row>
      <xdr:rowOff>24837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4315149"/>
          <a:ext cx="823095" cy="1205543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232757</xdr:colOff>
      <xdr:row>285</xdr:row>
      <xdr:rowOff>33252</xdr:rowOff>
    </xdr:from>
    <xdr:to>
      <xdr:col>0</xdr:col>
      <xdr:colOff>964277</xdr:colOff>
      <xdr:row>290</xdr:row>
      <xdr:rowOff>51154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7" y="46276954"/>
          <a:ext cx="731520" cy="927948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298</xdr:row>
      <xdr:rowOff>182880</xdr:rowOff>
    </xdr:from>
    <xdr:to>
      <xdr:col>0</xdr:col>
      <xdr:colOff>1039230</xdr:colOff>
      <xdr:row>304</xdr:row>
      <xdr:rowOff>70158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48679331"/>
          <a:ext cx="806474" cy="9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305</xdr:row>
      <xdr:rowOff>24938</xdr:rowOff>
    </xdr:from>
    <xdr:to>
      <xdr:col>0</xdr:col>
      <xdr:colOff>1014290</xdr:colOff>
      <xdr:row>310</xdr:row>
      <xdr:rowOff>108209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49660233"/>
          <a:ext cx="839723" cy="872979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191193</xdr:colOff>
      <xdr:row>312</xdr:row>
      <xdr:rowOff>66502</xdr:rowOff>
    </xdr:from>
    <xdr:to>
      <xdr:col>0</xdr:col>
      <xdr:colOff>1003100</xdr:colOff>
      <xdr:row>319</xdr:row>
      <xdr:rowOff>68212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3" y="50840640"/>
          <a:ext cx="811907" cy="125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321</xdr:row>
      <xdr:rowOff>74814</xdr:rowOff>
    </xdr:from>
    <xdr:to>
      <xdr:col>0</xdr:col>
      <xdr:colOff>1047545</xdr:colOff>
      <xdr:row>329</xdr:row>
      <xdr:rowOff>34951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52270429"/>
          <a:ext cx="864665" cy="1305312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249383</xdr:colOff>
      <xdr:row>346</xdr:row>
      <xdr:rowOff>49877</xdr:rowOff>
    </xdr:from>
    <xdr:to>
      <xdr:col>0</xdr:col>
      <xdr:colOff>1022467</xdr:colOff>
      <xdr:row>353</xdr:row>
      <xdr:rowOff>146111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3" y="56260539"/>
          <a:ext cx="773084" cy="1414890"/>
        </a:xfrm>
        <a:prstGeom prst="rect">
          <a:avLst/>
        </a:prstGeom>
      </xdr:spPr>
    </xdr:pic>
    <xdr:clientData/>
  </xdr:twoCellAnchor>
  <xdr:twoCellAnchor editAs="oneCell">
    <xdr:from>
      <xdr:col>0</xdr:col>
      <xdr:colOff>282632</xdr:colOff>
      <xdr:row>355</xdr:row>
      <xdr:rowOff>74814</xdr:rowOff>
    </xdr:from>
    <xdr:to>
      <xdr:col>0</xdr:col>
      <xdr:colOff>756457</xdr:colOff>
      <xdr:row>363</xdr:row>
      <xdr:rowOff>3072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32" y="57740203"/>
          <a:ext cx="473825" cy="1339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257694</xdr:colOff>
      <xdr:row>364</xdr:row>
      <xdr:rowOff>1</xdr:rowOff>
    </xdr:from>
    <xdr:to>
      <xdr:col>0</xdr:col>
      <xdr:colOff>1016066</xdr:colOff>
      <xdr:row>369</xdr:row>
      <xdr:rowOff>134984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694" y="59153368"/>
          <a:ext cx="758372" cy="113884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334</xdr:row>
      <xdr:rowOff>49877</xdr:rowOff>
    </xdr:from>
    <xdr:to>
      <xdr:col>0</xdr:col>
      <xdr:colOff>1014310</xdr:colOff>
      <xdr:row>339</xdr:row>
      <xdr:rowOff>17355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54331986"/>
          <a:ext cx="964434" cy="82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372</xdr:row>
      <xdr:rowOff>66502</xdr:rowOff>
    </xdr:from>
    <xdr:to>
      <xdr:col>0</xdr:col>
      <xdr:colOff>997665</xdr:colOff>
      <xdr:row>376</xdr:row>
      <xdr:rowOff>1298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60616407"/>
          <a:ext cx="839723" cy="698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133004</xdr:colOff>
      <xdr:row>379</xdr:row>
      <xdr:rowOff>182880</xdr:rowOff>
    </xdr:from>
    <xdr:to>
      <xdr:col>0</xdr:col>
      <xdr:colOff>1022611</xdr:colOff>
      <xdr:row>384</xdr:row>
      <xdr:rowOff>10230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4" y="61904880"/>
          <a:ext cx="889607" cy="82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124691</xdr:colOff>
      <xdr:row>385</xdr:row>
      <xdr:rowOff>182880</xdr:rowOff>
    </xdr:from>
    <xdr:to>
      <xdr:col>0</xdr:col>
      <xdr:colOff>1014298</xdr:colOff>
      <xdr:row>391</xdr:row>
      <xdr:rowOff>109322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62960596"/>
          <a:ext cx="889607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53585</xdr:colOff>
      <xdr:row>93</xdr:row>
      <xdr:rowOff>44947</xdr:rowOff>
    </xdr:from>
    <xdr:to>
      <xdr:col>0</xdr:col>
      <xdr:colOff>1086765</xdr:colOff>
      <xdr:row>95</xdr:row>
      <xdr:rowOff>45311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bright="9000" contrast="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574103">
          <a:off x="53585" y="15988758"/>
          <a:ext cx="1033180" cy="448063"/>
        </a:xfrm>
        <a:prstGeom prst="rect">
          <a:avLst/>
        </a:prstGeom>
      </xdr:spPr>
    </xdr:pic>
    <xdr:clientData/>
  </xdr:twoCellAnchor>
  <xdr:oneCellAnchor>
    <xdr:from>
      <xdr:col>0</xdr:col>
      <xdr:colOff>91440</xdr:colOff>
      <xdr:row>180</xdr:row>
      <xdr:rowOff>58189</xdr:rowOff>
    </xdr:from>
    <xdr:ext cx="922712" cy="610385"/>
    <xdr:pic>
      <xdr:nvPicPr>
        <xdr:cNvPr id="30" name="Grafik 29">
          <a:extLst>
            <a:ext uri="{FF2B5EF4-FFF2-40B4-BE49-F238E27FC236}">
              <a16:creationId xmlns:a16="http://schemas.microsoft.com/office/drawing/2014/main" id="{778F4020-9557-4256-BF58-843ABC87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9240975"/>
          <a:ext cx="922712" cy="610385"/>
        </a:xfrm>
        <a:prstGeom prst="rect">
          <a:avLst/>
        </a:prstGeom>
      </xdr:spPr>
    </xdr:pic>
    <xdr:clientData/>
  </xdr:oneCellAnchor>
  <xdr:oneCellAnchor>
    <xdr:from>
      <xdr:col>0</xdr:col>
      <xdr:colOff>117895</xdr:colOff>
      <xdr:row>186</xdr:row>
      <xdr:rowOff>2260</xdr:rowOff>
    </xdr:from>
    <xdr:ext cx="912133" cy="596404"/>
    <xdr:pic>
      <xdr:nvPicPr>
        <xdr:cNvPr id="31" name="Grafik 30">
          <a:extLst>
            <a:ext uri="{FF2B5EF4-FFF2-40B4-BE49-F238E27FC236}">
              <a16:creationId xmlns:a16="http://schemas.microsoft.com/office/drawing/2014/main" id="{FFAD6CC1-A307-4DCF-99B0-07516BEC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95" y="33557474"/>
          <a:ext cx="912133" cy="5964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92601</xdr:colOff>
      <xdr:row>22</xdr:row>
      <xdr:rowOff>8313</xdr:rowOff>
    </xdr:from>
    <xdr:to>
      <xdr:col>0</xdr:col>
      <xdr:colOff>964460</xdr:colOff>
      <xdr:row>24</xdr:row>
      <xdr:rowOff>100939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7000" contrast="1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410703">
          <a:off x="92601" y="3657600"/>
          <a:ext cx="871859" cy="540327"/>
        </a:xfrm>
        <a:prstGeom prst="rect">
          <a:avLst/>
        </a:prstGeom>
      </xdr:spPr>
    </xdr:pic>
    <xdr:clientData/>
  </xdr:twoCellAnchor>
  <xdr:twoCellAnchor editAs="oneCell">
    <xdr:from>
      <xdr:col>0</xdr:col>
      <xdr:colOff>329115</xdr:colOff>
      <xdr:row>30</xdr:row>
      <xdr:rowOff>108066</xdr:rowOff>
    </xdr:from>
    <xdr:to>
      <xdr:col>0</xdr:col>
      <xdr:colOff>912278</xdr:colOff>
      <xdr:row>35</xdr:row>
      <xdr:rowOff>101436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15" y="5561215"/>
          <a:ext cx="583163" cy="9809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133005</xdr:colOff>
      <xdr:row>170</xdr:row>
      <xdr:rowOff>83127</xdr:rowOff>
    </xdr:from>
    <xdr:to>
      <xdr:col>0</xdr:col>
      <xdr:colOff>1039251</xdr:colOff>
      <xdr:row>174</xdr:row>
      <xdr:rowOff>76126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5" y="27456938"/>
          <a:ext cx="906246" cy="756582"/>
        </a:xfrm>
        <a:prstGeom prst="rect">
          <a:avLst/>
        </a:prstGeom>
      </xdr:spPr>
    </xdr:pic>
    <xdr:clientData/>
  </xdr:twoCellAnchor>
  <xdr:twoCellAnchor editAs="oneCell">
    <xdr:from>
      <xdr:col>0</xdr:col>
      <xdr:colOff>308540</xdr:colOff>
      <xdr:row>42</xdr:row>
      <xdr:rowOff>33250</xdr:rowOff>
    </xdr:from>
    <xdr:to>
      <xdr:col>0</xdr:col>
      <xdr:colOff>889462</xdr:colOff>
      <xdr:row>47</xdr:row>
      <xdr:rowOff>35033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40" y="6999315"/>
          <a:ext cx="580922" cy="1014155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</xdr:colOff>
      <xdr:row>0</xdr:row>
      <xdr:rowOff>58190</xdr:rowOff>
    </xdr:from>
    <xdr:to>
      <xdr:col>0</xdr:col>
      <xdr:colOff>989214</xdr:colOff>
      <xdr:row>4</xdr:row>
      <xdr:rowOff>283624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3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" y="58190"/>
          <a:ext cx="972589" cy="972589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11</xdr:row>
      <xdr:rowOff>99753</xdr:rowOff>
    </xdr:from>
    <xdr:to>
      <xdr:col>0</xdr:col>
      <xdr:colOff>997528</xdr:colOff>
      <xdr:row>16</xdr:row>
      <xdr:rowOff>123207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4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81">
          <a:off x="49877" y="1886989"/>
          <a:ext cx="947651" cy="947651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141317</xdr:colOff>
      <xdr:row>94</xdr:row>
      <xdr:rowOff>124691</xdr:rowOff>
    </xdr:from>
    <xdr:to>
      <xdr:col>0</xdr:col>
      <xdr:colOff>1030779</xdr:colOff>
      <xdr:row>97</xdr:row>
      <xdr:rowOff>18609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-4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7" y="13965382"/>
          <a:ext cx="889462" cy="515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216130</xdr:colOff>
      <xdr:row>158</xdr:row>
      <xdr:rowOff>16626</xdr:rowOff>
    </xdr:from>
    <xdr:to>
      <xdr:col>0</xdr:col>
      <xdr:colOff>1072481</xdr:colOff>
      <xdr:row>164</xdr:row>
      <xdr:rowOff>9676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5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0" y="28096326"/>
          <a:ext cx="856351" cy="1081621"/>
        </a:xfrm>
        <a:prstGeom prst="rect">
          <a:avLst/>
        </a:prstGeom>
      </xdr:spPr>
    </xdr:pic>
    <xdr:clientData/>
  </xdr:twoCellAnchor>
  <xdr:twoCellAnchor editAs="oneCell">
    <xdr:from>
      <xdr:col>0</xdr:col>
      <xdr:colOff>304108</xdr:colOff>
      <xdr:row>186</xdr:row>
      <xdr:rowOff>163285</xdr:rowOff>
    </xdr:from>
    <xdr:to>
      <xdr:col>0</xdr:col>
      <xdr:colOff>784093</xdr:colOff>
      <xdr:row>197</xdr:row>
      <xdr:rowOff>15818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108" y="32515628"/>
          <a:ext cx="479985" cy="1327547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108066</xdr:colOff>
      <xdr:row>204</xdr:row>
      <xdr:rowOff>108066</xdr:rowOff>
    </xdr:from>
    <xdr:to>
      <xdr:col>0</xdr:col>
      <xdr:colOff>1022616</xdr:colOff>
      <xdr:row>207</xdr:row>
      <xdr:rowOff>142510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6" y="32885150"/>
          <a:ext cx="914550" cy="640185"/>
        </a:xfrm>
        <a:prstGeom prst="rect">
          <a:avLst/>
        </a:prstGeom>
      </xdr:spPr>
    </xdr:pic>
    <xdr:clientData/>
  </xdr:twoCellAnchor>
  <xdr:twoCellAnchor editAs="oneCell">
    <xdr:from>
      <xdr:col>0</xdr:col>
      <xdr:colOff>320436</xdr:colOff>
      <xdr:row>197</xdr:row>
      <xdr:rowOff>149333</xdr:rowOff>
    </xdr:from>
    <xdr:to>
      <xdr:col>0</xdr:col>
      <xdr:colOff>1018705</xdr:colOff>
      <xdr:row>202</xdr:row>
      <xdr:rowOff>189050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36" y="34074662"/>
          <a:ext cx="698269" cy="1046646"/>
        </a:xfrm>
        <a:prstGeom prst="rect">
          <a:avLst/>
        </a:prstGeom>
      </xdr:spPr>
    </xdr:pic>
    <xdr:clientData/>
  </xdr:twoCellAnchor>
  <xdr:twoCellAnchor editAs="oneCell">
    <xdr:from>
      <xdr:col>0</xdr:col>
      <xdr:colOff>168234</xdr:colOff>
      <xdr:row>50</xdr:row>
      <xdr:rowOff>127265</xdr:rowOff>
    </xdr:from>
    <xdr:to>
      <xdr:col>0</xdr:col>
      <xdr:colOff>1041213</xdr:colOff>
      <xdr:row>53</xdr:row>
      <xdr:rowOff>61146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34" y="9129751"/>
          <a:ext cx="872979" cy="538038"/>
        </a:xfrm>
        <a:prstGeom prst="rect">
          <a:avLst/>
        </a:prstGeom>
      </xdr:spPr>
    </xdr:pic>
    <xdr:clientData/>
  </xdr:twoCellAnchor>
  <xdr:twoCellAnchor editAs="oneCell">
    <xdr:from>
      <xdr:col>0</xdr:col>
      <xdr:colOff>159031</xdr:colOff>
      <xdr:row>57</xdr:row>
      <xdr:rowOff>126967</xdr:rowOff>
    </xdr:from>
    <xdr:to>
      <xdr:col>0</xdr:col>
      <xdr:colOff>1073581</xdr:colOff>
      <xdr:row>61</xdr:row>
      <xdr:rowOff>100734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31" y="10484724"/>
          <a:ext cx="914550" cy="479953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74</xdr:row>
      <xdr:rowOff>174568</xdr:rowOff>
    </xdr:from>
    <xdr:to>
      <xdr:col>0</xdr:col>
      <xdr:colOff>1055873</xdr:colOff>
      <xdr:row>77</xdr:row>
      <xdr:rowOff>82329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10748357"/>
          <a:ext cx="956120" cy="55704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116379</xdr:colOff>
      <xdr:row>81</xdr:row>
      <xdr:rowOff>0</xdr:rowOff>
    </xdr:from>
    <xdr:to>
      <xdr:col>0</xdr:col>
      <xdr:colOff>981044</xdr:colOff>
      <xdr:row>84</xdr:row>
      <xdr:rowOff>76295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9" y="11754197"/>
          <a:ext cx="864665" cy="581986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86</xdr:row>
      <xdr:rowOff>149629</xdr:rowOff>
    </xdr:from>
    <xdr:to>
      <xdr:col>0</xdr:col>
      <xdr:colOff>1044910</xdr:colOff>
      <xdr:row>89</xdr:row>
      <xdr:rowOff>48986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12585469"/>
          <a:ext cx="978408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102</xdr:row>
      <xdr:rowOff>24939</xdr:rowOff>
    </xdr:from>
    <xdr:to>
      <xdr:col>0</xdr:col>
      <xdr:colOff>1014290</xdr:colOff>
      <xdr:row>107</xdr:row>
      <xdr:rowOff>132284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15187354"/>
          <a:ext cx="839723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174568</xdr:colOff>
      <xdr:row>110</xdr:row>
      <xdr:rowOff>16626</xdr:rowOff>
    </xdr:from>
    <xdr:to>
      <xdr:col>0</xdr:col>
      <xdr:colOff>997663</xdr:colOff>
      <xdr:row>115</xdr:row>
      <xdr:rowOff>109625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8" y="17107593"/>
          <a:ext cx="823095" cy="1064203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199507</xdr:colOff>
      <xdr:row>117</xdr:row>
      <xdr:rowOff>249381</xdr:rowOff>
    </xdr:from>
    <xdr:to>
      <xdr:col>0</xdr:col>
      <xdr:colOff>980903</xdr:colOff>
      <xdr:row>124</xdr:row>
      <xdr:rowOff>59993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7" y="18545694"/>
          <a:ext cx="781396" cy="1195076"/>
        </a:xfrm>
        <a:prstGeom prst="rect">
          <a:avLst/>
        </a:prstGeom>
      </xdr:spPr>
    </xdr:pic>
    <xdr:clientData/>
  </xdr:twoCellAnchor>
  <xdr:twoCellAnchor editAs="oneCell">
    <xdr:from>
      <xdr:col>0</xdr:col>
      <xdr:colOff>241070</xdr:colOff>
      <xdr:row>126</xdr:row>
      <xdr:rowOff>141317</xdr:rowOff>
    </xdr:from>
    <xdr:to>
      <xdr:col>0</xdr:col>
      <xdr:colOff>897775</xdr:colOff>
      <xdr:row>131</xdr:row>
      <xdr:rowOff>51619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70" y="20166677"/>
          <a:ext cx="656705" cy="83182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149630</xdr:colOff>
      <xdr:row>133</xdr:row>
      <xdr:rowOff>83128</xdr:rowOff>
    </xdr:from>
    <xdr:to>
      <xdr:col>0</xdr:col>
      <xdr:colOff>990488</xdr:colOff>
      <xdr:row>139</xdr:row>
      <xdr:rowOff>108065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21280583"/>
          <a:ext cx="840858" cy="922712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199506</xdr:colOff>
      <xdr:row>139</xdr:row>
      <xdr:rowOff>108066</xdr:rowOff>
    </xdr:from>
    <xdr:to>
      <xdr:col>0</xdr:col>
      <xdr:colOff>922713</xdr:colOff>
      <xdr:row>143</xdr:row>
      <xdr:rowOff>226639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6" y="22203295"/>
          <a:ext cx="723207" cy="749746"/>
        </a:xfrm>
        <a:prstGeom prst="rect">
          <a:avLst/>
        </a:prstGeom>
      </xdr:spPr>
    </xdr:pic>
    <xdr:clientData/>
  </xdr:twoCellAnchor>
  <xdr:twoCellAnchor editAs="oneCell">
    <xdr:from>
      <xdr:col>0</xdr:col>
      <xdr:colOff>241069</xdr:colOff>
      <xdr:row>143</xdr:row>
      <xdr:rowOff>365761</xdr:rowOff>
    </xdr:from>
    <xdr:to>
      <xdr:col>0</xdr:col>
      <xdr:colOff>1074790</xdr:colOff>
      <xdr:row>149</xdr:row>
      <xdr:rowOff>109747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69" y="23059506"/>
          <a:ext cx="833721" cy="1113905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177</xdr:row>
      <xdr:rowOff>99752</xdr:rowOff>
    </xdr:from>
    <xdr:to>
      <xdr:col>0</xdr:col>
      <xdr:colOff>939584</xdr:colOff>
      <xdr:row>185</xdr:row>
      <xdr:rowOff>17515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contrast="-3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28936603"/>
          <a:ext cx="706828" cy="1263534"/>
        </a:xfrm>
        <a:prstGeom prst="rect">
          <a:avLst/>
        </a:prstGeom>
      </xdr:spPr>
    </xdr:pic>
    <xdr:clientData/>
  </xdr:twoCellAnchor>
  <xdr:oneCellAnchor>
    <xdr:from>
      <xdr:col>0</xdr:col>
      <xdr:colOff>151905</xdr:colOff>
      <xdr:row>64</xdr:row>
      <xdr:rowOff>116379</xdr:rowOff>
    </xdr:from>
    <xdr:ext cx="872979" cy="538038"/>
    <xdr:pic>
      <xdr:nvPicPr>
        <xdr:cNvPr id="26" name="Grafik 25">
          <a:extLst>
            <a:ext uri="{FF2B5EF4-FFF2-40B4-BE49-F238E27FC236}">
              <a16:creationId xmlns:a16="http://schemas.microsoft.com/office/drawing/2014/main" id="{AE35578C-F4EA-4993-A981-7D35F82F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05" y="11491950"/>
          <a:ext cx="872979" cy="538038"/>
        </a:xfrm>
        <a:prstGeom prst="rect">
          <a:avLst/>
        </a:prstGeom>
      </xdr:spPr>
    </xdr:pic>
    <xdr:clientData/>
  </xdr:oneCellAnchor>
  <xdr:oneCellAnchor>
    <xdr:from>
      <xdr:col>0</xdr:col>
      <xdr:colOff>153588</xdr:colOff>
      <xdr:row>69</xdr:row>
      <xdr:rowOff>18110</xdr:rowOff>
    </xdr:from>
    <xdr:ext cx="914550" cy="479953"/>
    <xdr:pic>
      <xdr:nvPicPr>
        <xdr:cNvPr id="27" name="Grafik 26">
          <a:extLst>
            <a:ext uri="{FF2B5EF4-FFF2-40B4-BE49-F238E27FC236}">
              <a16:creationId xmlns:a16="http://schemas.microsoft.com/office/drawing/2014/main" id="{4E76733A-5F51-437C-89B1-2604741D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88" y="12373396"/>
          <a:ext cx="914550" cy="479953"/>
        </a:xfrm>
        <a:prstGeom prst="rect">
          <a:avLst/>
        </a:prstGeom>
      </xdr:spPr>
    </xdr:pic>
    <xdr:clientData/>
  </xdr:oneCellAnchor>
  <xdr:twoCellAnchor editAs="oneCell">
    <xdr:from>
      <xdr:col>0</xdr:col>
      <xdr:colOff>70757</xdr:colOff>
      <xdr:row>211</xdr:row>
      <xdr:rowOff>59872</xdr:rowOff>
    </xdr:from>
    <xdr:to>
      <xdr:col>0</xdr:col>
      <xdr:colOff>1010249</xdr:colOff>
      <xdr:row>215</xdr:row>
      <xdr:rowOff>144027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B7CBEEDB-F47F-414B-B478-37111F36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" y="36641315"/>
          <a:ext cx="939492" cy="7645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279924</xdr:colOff>
      <xdr:row>54</xdr:row>
      <xdr:rowOff>49875</xdr:rowOff>
    </xdr:from>
    <xdr:to>
      <xdr:col>0</xdr:col>
      <xdr:colOff>937217</xdr:colOff>
      <xdr:row>59</xdr:row>
      <xdr:rowOff>108065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924" y="9759140"/>
          <a:ext cx="657293" cy="1105593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228</xdr:row>
      <xdr:rowOff>124691</xdr:rowOff>
    </xdr:from>
    <xdr:to>
      <xdr:col>0</xdr:col>
      <xdr:colOff>997687</xdr:colOff>
      <xdr:row>232</xdr:row>
      <xdr:rowOff>101261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36775506"/>
          <a:ext cx="906246" cy="756582"/>
        </a:xfrm>
        <a:prstGeom prst="rect">
          <a:avLst/>
        </a:prstGeom>
      </xdr:spPr>
    </xdr:pic>
    <xdr:clientData/>
  </xdr:twoCellAnchor>
  <xdr:twoCellAnchor editAs="oneCell">
    <xdr:from>
      <xdr:col>0</xdr:col>
      <xdr:colOff>222781</xdr:colOff>
      <xdr:row>66</xdr:row>
      <xdr:rowOff>8312</xdr:rowOff>
    </xdr:from>
    <xdr:to>
      <xdr:col>0</xdr:col>
      <xdr:colOff>856211</xdr:colOff>
      <xdr:row>71</xdr:row>
      <xdr:rowOff>74814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81" y="11779134"/>
          <a:ext cx="633430" cy="111390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149630</xdr:colOff>
      <xdr:row>269</xdr:row>
      <xdr:rowOff>65731</xdr:rowOff>
    </xdr:from>
    <xdr:to>
      <xdr:col>0</xdr:col>
      <xdr:colOff>889461</xdr:colOff>
      <xdr:row>274</xdr:row>
      <xdr:rowOff>92696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44430756"/>
          <a:ext cx="739831" cy="865462"/>
        </a:xfrm>
        <a:prstGeom prst="rect">
          <a:avLst/>
        </a:prstGeom>
      </xdr:spPr>
    </xdr:pic>
    <xdr:clientData/>
  </xdr:twoCellAnchor>
  <xdr:twoCellAnchor editAs="oneCell">
    <xdr:from>
      <xdr:col>0</xdr:col>
      <xdr:colOff>66503</xdr:colOff>
      <xdr:row>0</xdr:row>
      <xdr:rowOff>0</xdr:rowOff>
    </xdr:from>
    <xdr:to>
      <xdr:col>0</xdr:col>
      <xdr:colOff>939339</xdr:colOff>
      <xdr:row>3</xdr:row>
      <xdr:rowOff>188619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3" y="41565"/>
          <a:ext cx="872836" cy="872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99753</xdr:rowOff>
    </xdr:from>
    <xdr:to>
      <xdr:col>0</xdr:col>
      <xdr:colOff>947651</xdr:colOff>
      <xdr:row>22</xdr:row>
      <xdr:rowOff>58783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6204"/>
          <a:ext cx="947651" cy="947651"/>
        </a:xfrm>
        <a:prstGeom prst="rect">
          <a:avLst/>
        </a:prstGeom>
      </xdr:spPr>
    </xdr:pic>
    <xdr:clientData/>
  </xdr:twoCellAnchor>
  <xdr:twoCellAnchor editAs="oneCell">
    <xdr:from>
      <xdr:col>0</xdr:col>
      <xdr:colOff>145869</xdr:colOff>
      <xdr:row>35</xdr:row>
      <xdr:rowOff>62440</xdr:rowOff>
    </xdr:from>
    <xdr:to>
      <xdr:col>0</xdr:col>
      <xdr:colOff>1012662</xdr:colOff>
      <xdr:row>38</xdr:row>
      <xdr:rowOff>152428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926007">
          <a:off x="145869" y="5623655"/>
          <a:ext cx="866793" cy="60804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77</xdr:row>
      <xdr:rowOff>0</xdr:rowOff>
    </xdr:from>
    <xdr:to>
      <xdr:col>0</xdr:col>
      <xdr:colOff>906226</xdr:colOff>
      <xdr:row>81</xdr:row>
      <xdr:rowOff>980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12485716"/>
          <a:ext cx="848037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141317</xdr:colOff>
      <xdr:row>86</xdr:row>
      <xdr:rowOff>66502</xdr:rowOff>
    </xdr:from>
    <xdr:to>
      <xdr:col>0</xdr:col>
      <xdr:colOff>981040</xdr:colOff>
      <xdr:row>89</xdr:row>
      <xdr:rowOff>62335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7" y="14040197"/>
          <a:ext cx="839723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116379</xdr:colOff>
      <xdr:row>108</xdr:row>
      <xdr:rowOff>58189</xdr:rowOff>
    </xdr:from>
    <xdr:to>
      <xdr:col>0</xdr:col>
      <xdr:colOff>981044</xdr:colOff>
      <xdr:row>111</xdr:row>
      <xdr:rowOff>1271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9" y="17431789"/>
          <a:ext cx="864665" cy="515473"/>
        </a:xfrm>
        <a:prstGeom prst="rect">
          <a:avLst/>
        </a:prstGeom>
      </xdr:spPr>
    </xdr:pic>
    <xdr:clientData/>
  </xdr:twoCellAnchor>
  <xdr:twoCellAnchor editAs="oneCell">
    <xdr:from>
      <xdr:col>0</xdr:col>
      <xdr:colOff>141316</xdr:colOff>
      <xdr:row>116</xdr:row>
      <xdr:rowOff>99753</xdr:rowOff>
    </xdr:from>
    <xdr:to>
      <xdr:col>0</xdr:col>
      <xdr:colOff>1005981</xdr:colOff>
      <xdr:row>119</xdr:row>
      <xdr:rowOff>139031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6" y="18662073"/>
          <a:ext cx="864665" cy="54041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149629</xdr:colOff>
      <xdr:row>124</xdr:row>
      <xdr:rowOff>41564</xdr:rowOff>
    </xdr:from>
    <xdr:to>
      <xdr:col>0</xdr:col>
      <xdr:colOff>1030922</xdr:colOff>
      <xdr:row>126</xdr:row>
      <xdr:rowOff>65395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29" y="19933920"/>
          <a:ext cx="881293" cy="49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133004</xdr:colOff>
      <xdr:row>132</xdr:row>
      <xdr:rowOff>33251</xdr:rowOff>
    </xdr:from>
    <xdr:to>
      <xdr:col>0</xdr:col>
      <xdr:colOff>964413</xdr:colOff>
      <xdr:row>134</xdr:row>
      <xdr:rowOff>67768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4" y="21288895"/>
          <a:ext cx="831409" cy="48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140</xdr:row>
      <xdr:rowOff>49877</xdr:rowOff>
    </xdr:from>
    <xdr:to>
      <xdr:col>0</xdr:col>
      <xdr:colOff>964422</xdr:colOff>
      <xdr:row>142</xdr:row>
      <xdr:rowOff>65196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2668808"/>
          <a:ext cx="889607" cy="473903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154</xdr:row>
      <xdr:rowOff>74815</xdr:rowOff>
    </xdr:from>
    <xdr:to>
      <xdr:col>0</xdr:col>
      <xdr:colOff>939479</xdr:colOff>
      <xdr:row>159</xdr:row>
      <xdr:rowOff>110513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25486822"/>
          <a:ext cx="856351" cy="1055889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124690</xdr:colOff>
      <xdr:row>165</xdr:row>
      <xdr:rowOff>141317</xdr:rowOff>
    </xdr:from>
    <xdr:to>
      <xdr:col>0</xdr:col>
      <xdr:colOff>939471</xdr:colOff>
      <xdr:row>170</xdr:row>
      <xdr:rowOff>133479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" y="27390437"/>
          <a:ext cx="814781" cy="1089145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176</xdr:row>
      <xdr:rowOff>0</xdr:rowOff>
    </xdr:from>
    <xdr:to>
      <xdr:col>0</xdr:col>
      <xdr:colOff>989360</xdr:colOff>
      <xdr:row>182</xdr:row>
      <xdr:rowOff>47810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9152735"/>
          <a:ext cx="889607" cy="1280369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189</xdr:row>
      <xdr:rowOff>0</xdr:rowOff>
    </xdr:from>
    <xdr:to>
      <xdr:col>0</xdr:col>
      <xdr:colOff>994277</xdr:colOff>
      <xdr:row>194</xdr:row>
      <xdr:rowOff>19001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31280793"/>
          <a:ext cx="769834" cy="939338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207819</xdr:colOff>
      <xdr:row>195</xdr:row>
      <xdr:rowOff>24938</xdr:rowOff>
    </xdr:from>
    <xdr:to>
      <xdr:col>0</xdr:col>
      <xdr:colOff>1007517</xdr:colOff>
      <xdr:row>200</xdr:row>
      <xdr:rowOff>50469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9" y="32253382"/>
          <a:ext cx="799698" cy="8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200</xdr:row>
      <xdr:rowOff>108065</xdr:rowOff>
    </xdr:from>
    <xdr:to>
      <xdr:col>0</xdr:col>
      <xdr:colOff>1022465</xdr:colOff>
      <xdr:row>205</xdr:row>
      <xdr:rowOff>105558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33159469"/>
          <a:ext cx="789709" cy="827676"/>
        </a:xfrm>
        <a:prstGeom prst="rect">
          <a:avLst/>
        </a:prstGeom>
      </xdr:spPr>
    </xdr:pic>
    <xdr:clientData/>
  </xdr:twoCellAnchor>
  <xdr:twoCellAnchor editAs="oneCell">
    <xdr:from>
      <xdr:col>0</xdr:col>
      <xdr:colOff>216131</xdr:colOff>
      <xdr:row>206</xdr:row>
      <xdr:rowOff>133004</xdr:rowOff>
    </xdr:from>
    <xdr:to>
      <xdr:col>0</xdr:col>
      <xdr:colOff>984660</xdr:colOff>
      <xdr:row>212</xdr:row>
      <xdr:rowOff>110270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34198560"/>
          <a:ext cx="768529" cy="1139070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217</xdr:row>
      <xdr:rowOff>16625</xdr:rowOff>
    </xdr:from>
    <xdr:to>
      <xdr:col>0</xdr:col>
      <xdr:colOff>972729</xdr:colOff>
      <xdr:row>222</xdr:row>
      <xdr:rowOff>151189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35819541"/>
          <a:ext cx="856351" cy="1072517"/>
        </a:xfrm>
        <a:prstGeom prst="rect">
          <a:avLst/>
        </a:prstGeom>
      </xdr:spPr>
    </xdr:pic>
    <xdr:clientData/>
  </xdr:twoCellAnchor>
  <xdr:twoCellAnchor editAs="oneCell">
    <xdr:from>
      <xdr:col>0</xdr:col>
      <xdr:colOff>290947</xdr:colOff>
      <xdr:row>236</xdr:row>
      <xdr:rowOff>83127</xdr:rowOff>
    </xdr:from>
    <xdr:to>
      <xdr:col>0</xdr:col>
      <xdr:colOff>955965</xdr:colOff>
      <xdr:row>243</xdr:row>
      <xdr:rowOff>28952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47" y="39053192"/>
          <a:ext cx="665018" cy="126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244</xdr:row>
      <xdr:rowOff>24937</xdr:rowOff>
    </xdr:from>
    <xdr:to>
      <xdr:col>0</xdr:col>
      <xdr:colOff>771313</xdr:colOff>
      <xdr:row>252</xdr:row>
      <xdr:rowOff>121511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40358290"/>
          <a:ext cx="505306" cy="1446699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254</xdr:row>
      <xdr:rowOff>99753</xdr:rowOff>
    </xdr:from>
    <xdr:to>
      <xdr:col>0</xdr:col>
      <xdr:colOff>972739</xdr:colOff>
      <xdr:row>257</xdr:row>
      <xdr:rowOff>117868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42012524"/>
          <a:ext cx="914550" cy="640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939492</xdr:colOff>
      <xdr:row>266</xdr:row>
      <xdr:rowOff>51497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76058"/>
          <a:ext cx="939492" cy="831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253413</xdr:colOff>
      <xdr:row>2</xdr:row>
      <xdr:rowOff>108065</xdr:rowOff>
    </xdr:from>
    <xdr:to>
      <xdr:col>0</xdr:col>
      <xdr:colOff>920590</xdr:colOff>
      <xdr:row>7</xdr:row>
      <xdr:rowOff>151013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13" y="490450"/>
          <a:ext cx="667177" cy="1122218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12</xdr:row>
      <xdr:rowOff>8312</xdr:rowOff>
    </xdr:from>
    <xdr:to>
      <xdr:col>0</xdr:col>
      <xdr:colOff>964435</xdr:colOff>
      <xdr:row>16</xdr:row>
      <xdr:rowOff>1311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820487"/>
          <a:ext cx="781555" cy="75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357448</xdr:colOff>
      <xdr:row>78</xdr:row>
      <xdr:rowOff>49876</xdr:rowOff>
    </xdr:from>
    <xdr:to>
      <xdr:col>0</xdr:col>
      <xdr:colOff>915269</xdr:colOff>
      <xdr:row>82</xdr:row>
      <xdr:rowOff>109319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22000"/>
                  </a14:imgEffect>
                  <a14:imgEffect>
                    <a14:brightnessContrast bright="8000" contrast="-1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48" y="13375178"/>
          <a:ext cx="557821" cy="823126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0</xdr:row>
      <xdr:rowOff>66501</xdr:rowOff>
    </xdr:from>
    <xdr:to>
      <xdr:col>0</xdr:col>
      <xdr:colOff>1122218</xdr:colOff>
      <xdr:row>4</xdr:row>
      <xdr:rowOff>137706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66501"/>
          <a:ext cx="1022465" cy="66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248546</xdr:colOff>
      <xdr:row>6</xdr:row>
      <xdr:rowOff>142281</xdr:rowOff>
    </xdr:from>
    <xdr:to>
      <xdr:col>0</xdr:col>
      <xdr:colOff>849227</xdr:colOff>
      <xdr:row>12</xdr:row>
      <xdr:rowOff>196741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796826">
          <a:off x="66288" y="1338692"/>
          <a:ext cx="965197" cy="600681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34</xdr:row>
      <xdr:rowOff>0</xdr:rowOff>
    </xdr:from>
    <xdr:to>
      <xdr:col>0</xdr:col>
      <xdr:colOff>964427</xdr:colOff>
      <xdr:row>36</xdr:row>
      <xdr:rowOff>163978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5611091"/>
          <a:ext cx="914550" cy="6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174567</xdr:colOff>
      <xdr:row>52</xdr:row>
      <xdr:rowOff>114301</xdr:rowOff>
    </xdr:from>
    <xdr:to>
      <xdr:col>0</xdr:col>
      <xdr:colOff>1022604</xdr:colOff>
      <xdr:row>56</xdr:row>
      <xdr:rowOff>385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" y="9492344"/>
          <a:ext cx="848037" cy="506570"/>
        </a:xfrm>
        <a:prstGeom prst="rect">
          <a:avLst/>
        </a:prstGeom>
      </xdr:spPr>
    </xdr:pic>
    <xdr:clientData/>
  </xdr:twoCellAnchor>
  <xdr:twoCellAnchor editAs="oneCell">
    <xdr:from>
      <xdr:col>0</xdr:col>
      <xdr:colOff>127264</xdr:colOff>
      <xdr:row>56</xdr:row>
      <xdr:rowOff>87086</xdr:rowOff>
    </xdr:from>
    <xdr:to>
      <xdr:col>0</xdr:col>
      <xdr:colOff>958673</xdr:colOff>
      <xdr:row>60</xdr:row>
      <xdr:rowOff>17012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64" y="10085615"/>
          <a:ext cx="831409" cy="561297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62</xdr:row>
      <xdr:rowOff>24937</xdr:rowOff>
    </xdr:from>
    <xdr:to>
      <xdr:col>0</xdr:col>
      <xdr:colOff>1089670</xdr:colOff>
      <xdr:row>65</xdr:row>
      <xdr:rowOff>65610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10465722"/>
          <a:ext cx="1039794" cy="689957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69</xdr:row>
      <xdr:rowOff>182880</xdr:rowOff>
    </xdr:from>
    <xdr:to>
      <xdr:col>0</xdr:col>
      <xdr:colOff>1089108</xdr:colOff>
      <xdr:row>75</xdr:row>
      <xdr:rowOff>69546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11829011"/>
          <a:ext cx="864665" cy="106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88</xdr:row>
      <xdr:rowOff>99753</xdr:rowOff>
    </xdr:from>
    <xdr:to>
      <xdr:col>0</xdr:col>
      <xdr:colOff>989215</xdr:colOff>
      <xdr:row>94</xdr:row>
      <xdr:rowOff>7332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14913033"/>
          <a:ext cx="723208" cy="921139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100</xdr:row>
      <xdr:rowOff>116379</xdr:rowOff>
    </xdr:from>
    <xdr:to>
      <xdr:col>0</xdr:col>
      <xdr:colOff>1030914</xdr:colOff>
      <xdr:row>106</xdr:row>
      <xdr:rowOff>58940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16733521"/>
          <a:ext cx="831409" cy="956120"/>
        </a:xfrm>
        <a:prstGeom prst="rect">
          <a:avLst/>
        </a:prstGeom>
      </xdr:spPr>
    </xdr:pic>
    <xdr:clientData/>
  </xdr:twoCellAnchor>
  <xdr:twoCellAnchor editAs="oneCell">
    <xdr:from>
      <xdr:col>0</xdr:col>
      <xdr:colOff>124691</xdr:colOff>
      <xdr:row>109</xdr:row>
      <xdr:rowOff>33251</xdr:rowOff>
    </xdr:from>
    <xdr:to>
      <xdr:col>0</xdr:col>
      <xdr:colOff>1005984</xdr:colOff>
      <xdr:row>114</xdr:row>
      <xdr:rowOff>99893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18038618"/>
          <a:ext cx="881293" cy="856351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118</xdr:row>
      <xdr:rowOff>133004</xdr:rowOff>
    </xdr:from>
    <xdr:to>
      <xdr:col>0</xdr:col>
      <xdr:colOff>931134</xdr:colOff>
      <xdr:row>123</xdr:row>
      <xdr:rowOff>53204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19426844"/>
          <a:ext cx="665127" cy="989376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266007</xdr:colOff>
      <xdr:row>128</xdr:row>
      <xdr:rowOff>49876</xdr:rowOff>
    </xdr:from>
    <xdr:to>
      <xdr:col>0</xdr:col>
      <xdr:colOff>1072473</xdr:colOff>
      <xdr:row>134</xdr:row>
      <xdr:rowOff>42926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7" y="21022887"/>
          <a:ext cx="806466" cy="1072517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138</xdr:row>
      <xdr:rowOff>0</xdr:rowOff>
    </xdr:from>
    <xdr:to>
      <xdr:col>0</xdr:col>
      <xdr:colOff>964422</xdr:colOff>
      <xdr:row>142</xdr:row>
      <xdr:rowOff>67826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2618931"/>
          <a:ext cx="889607" cy="831409"/>
        </a:xfrm>
        <a:prstGeom prst="rect">
          <a:avLst/>
        </a:prstGeom>
      </xdr:spPr>
    </xdr:pic>
    <xdr:clientData/>
  </xdr:twoCellAnchor>
  <xdr:twoCellAnchor editAs="oneCell">
    <xdr:from>
      <xdr:col>0</xdr:col>
      <xdr:colOff>232756</xdr:colOff>
      <xdr:row>151</xdr:row>
      <xdr:rowOff>174567</xdr:rowOff>
    </xdr:from>
    <xdr:to>
      <xdr:col>0</xdr:col>
      <xdr:colOff>947768</xdr:colOff>
      <xdr:row>158</xdr:row>
      <xdr:rowOff>42343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56" y="24913243"/>
          <a:ext cx="715012" cy="1139030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168</xdr:row>
      <xdr:rowOff>58190</xdr:rowOff>
    </xdr:from>
    <xdr:to>
      <xdr:col>0</xdr:col>
      <xdr:colOff>1014299</xdr:colOff>
      <xdr:row>172</xdr:row>
      <xdr:rowOff>17932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27814386"/>
          <a:ext cx="897921" cy="723326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182</xdr:row>
      <xdr:rowOff>16626</xdr:rowOff>
    </xdr:from>
    <xdr:to>
      <xdr:col>0</xdr:col>
      <xdr:colOff>1039235</xdr:colOff>
      <xdr:row>187</xdr:row>
      <xdr:rowOff>134262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30117011"/>
          <a:ext cx="881293" cy="10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249381</xdr:colOff>
      <xdr:row>159</xdr:row>
      <xdr:rowOff>216132</xdr:rowOff>
    </xdr:from>
    <xdr:to>
      <xdr:col>0</xdr:col>
      <xdr:colOff>947764</xdr:colOff>
      <xdr:row>166</xdr:row>
      <xdr:rowOff>92217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1" y="26384597"/>
          <a:ext cx="698383" cy="111408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274322</xdr:colOff>
      <xdr:row>20</xdr:row>
      <xdr:rowOff>24940</xdr:rowOff>
    </xdr:from>
    <xdr:to>
      <xdr:col>0</xdr:col>
      <xdr:colOff>871142</xdr:colOff>
      <xdr:row>25</xdr:row>
      <xdr:rowOff>118061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2" y="3192089"/>
          <a:ext cx="596820" cy="1080654"/>
        </a:xfrm>
        <a:prstGeom prst="rect">
          <a:avLst/>
        </a:prstGeom>
      </xdr:spPr>
    </xdr:pic>
    <xdr:clientData/>
  </xdr:twoCellAnchor>
  <xdr:twoCellAnchor editAs="oneCell">
    <xdr:from>
      <xdr:col>0</xdr:col>
      <xdr:colOff>266008</xdr:colOff>
      <xdr:row>26</xdr:row>
      <xdr:rowOff>149630</xdr:rowOff>
    </xdr:from>
    <xdr:to>
      <xdr:col>0</xdr:col>
      <xdr:colOff>856212</xdr:colOff>
      <xdr:row>32</xdr:row>
      <xdr:rowOff>72929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08" y="4364183"/>
          <a:ext cx="590204" cy="1068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103</xdr:row>
      <xdr:rowOff>91440</xdr:rowOff>
    </xdr:from>
    <xdr:to>
      <xdr:col>0</xdr:col>
      <xdr:colOff>947651</xdr:colOff>
      <xdr:row>106</xdr:row>
      <xdr:rowOff>3342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82881" y="16583891"/>
          <a:ext cx="764770" cy="662174"/>
        </a:xfrm>
        <a:prstGeom prst="rect">
          <a:avLst/>
        </a:prstGeom>
      </xdr:spPr>
    </xdr:pic>
    <xdr:clientData/>
  </xdr:twoCellAnchor>
  <xdr:oneCellAnchor>
    <xdr:from>
      <xdr:col>0</xdr:col>
      <xdr:colOff>249383</xdr:colOff>
      <xdr:row>43</xdr:row>
      <xdr:rowOff>8313</xdr:rowOff>
    </xdr:from>
    <xdr:ext cx="706581" cy="662174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249383" y="7797338"/>
          <a:ext cx="706581" cy="662174"/>
        </a:xfrm>
        <a:prstGeom prst="rect">
          <a:avLst/>
        </a:prstGeom>
      </xdr:spPr>
    </xdr:pic>
    <xdr:clientData/>
  </xdr:oneCellAnchor>
  <xdr:twoCellAnchor editAs="oneCell">
    <xdr:from>
      <xdr:col>0</xdr:col>
      <xdr:colOff>207819</xdr:colOff>
      <xdr:row>107</xdr:row>
      <xdr:rowOff>49623</xdr:rowOff>
    </xdr:from>
    <xdr:to>
      <xdr:col>0</xdr:col>
      <xdr:colOff>960549</xdr:colOff>
      <xdr:row>109</xdr:row>
      <xdr:rowOff>131625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9" y="17506350"/>
          <a:ext cx="752730" cy="708450"/>
        </a:xfrm>
        <a:prstGeom prst="rect">
          <a:avLst/>
        </a:prstGeom>
      </xdr:spPr>
    </xdr:pic>
    <xdr:clientData/>
  </xdr:twoCellAnchor>
  <xdr:twoCellAnchor editAs="oneCell">
    <xdr:from>
      <xdr:col>0</xdr:col>
      <xdr:colOff>83128</xdr:colOff>
      <xdr:row>0</xdr:row>
      <xdr:rowOff>0</xdr:rowOff>
    </xdr:from>
    <xdr:to>
      <xdr:col>0</xdr:col>
      <xdr:colOff>1037048</xdr:colOff>
      <xdr:row>4</xdr:row>
      <xdr:rowOff>91737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0"/>
          <a:ext cx="953920" cy="872836"/>
        </a:xfrm>
        <a:prstGeom prst="rect">
          <a:avLst/>
        </a:prstGeom>
      </xdr:spPr>
    </xdr:pic>
    <xdr:clientData/>
  </xdr:twoCellAnchor>
  <xdr:twoCellAnchor editAs="oneCell">
    <xdr:from>
      <xdr:col>0</xdr:col>
      <xdr:colOff>33252</xdr:colOff>
      <xdr:row>26</xdr:row>
      <xdr:rowOff>74815</xdr:rowOff>
    </xdr:from>
    <xdr:to>
      <xdr:col>0</xdr:col>
      <xdr:colOff>1097280</xdr:colOff>
      <xdr:row>32</xdr:row>
      <xdr:rowOff>29208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2" y="4089862"/>
          <a:ext cx="1064028" cy="1157363"/>
        </a:xfrm>
        <a:prstGeom prst="rect">
          <a:avLst/>
        </a:prstGeom>
      </xdr:spPr>
    </xdr:pic>
    <xdr:clientData/>
  </xdr:twoCellAnchor>
  <xdr:twoCellAnchor editAs="oneCell">
    <xdr:from>
      <xdr:col>0</xdr:col>
      <xdr:colOff>41565</xdr:colOff>
      <xdr:row>49</xdr:row>
      <xdr:rowOff>0</xdr:rowOff>
    </xdr:from>
    <xdr:to>
      <xdr:col>0</xdr:col>
      <xdr:colOff>1072343</xdr:colOff>
      <xdr:row>52</xdr:row>
      <xdr:rowOff>114993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5" y="7547956"/>
          <a:ext cx="1030778" cy="87887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58</xdr:row>
      <xdr:rowOff>41565</xdr:rowOff>
    </xdr:from>
    <xdr:to>
      <xdr:col>0</xdr:col>
      <xdr:colOff>1088967</xdr:colOff>
      <xdr:row>63</xdr:row>
      <xdr:rowOff>69998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9933710"/>
          <a:ext cx="1039091" cy="923636"/>
        </a:xfrm>
        <a:prstGeom prst="rect">
          <a:avLst/>
        </a:prstGeom>
      </xdr:spPr>
    </xdr:pic>
    <xdr:clientData/>
  </xdr:twoCellAnchor>
  <xdr:twoCellAnchor editAs="oneCell">
    <xdr:from>
      <xdr:col>0</xdr:col>
      <xdr:colOff>49876</xdr:colOff>
      <xdr:row>53</xdr:row>
      <xdr:rowOff>49877</xdr:rowOff>
    </xdr:from>
    <xdr:to>
      <xdr:col>0</xdr:col>
      <xdr:colOff>1080654</xdr:colOff>
      <xdr:row>56</xdr:row>
      <xdr:rowOff>155964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6" y="8744990"/>
          <a:ext cx="1030778" cy="878874"/>
        </a:xfrm>
        <a:prstGeom prst="rect">
          <a:avLst/>
        </a:prstGeom>
      </xdr:spPr>
    </xdr:pic>
    <xdr:clientData/>
  </xdr:twoCellAnchor>
  <xdr:twoCellAnchor editAs="oneCell">
    <xdr:from>
      <xdr:col>0</xdr:col>
      <xdr:colOff>52449</xdr:colOff>
      <xdr:row>76</xdr:row>
      <xdr:rowOff>196636</xdr:rowOff>
    </xdr:from>
    <xdr:to>
      <xdr:col>0</xdr:col>
      <xdr:colOff>1091540</xdr:colOff>
      <xdr:row>80</xdr:row>
      <xdr:rowOff>82071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9" y="12704322"/>
          <a:ext cx="1039091" cy="9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</xdr:colOff>
      <xdr:row>90</xdr:row>
      <xdr:rowOff>116378</xdr:rowOff>
    </xdr:from>
    <xdr:to>
      <xdr:col>0</xdr:col>
      <xdr:colOff>1064029</xdr:colOff>
      <xdr:row>94</xdr:row>
      <xdr:rowOff>75144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" y="14372705"/>
          <a:ext cx="1039091" cy="923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</xdr:colOff>
      <xdr:row>158</xdr:row>
      <xdr:rowOff>141317</xdr:rowOff>
    </xdr:from>
    <xdr:to>
      <xdr:col>0</xdr:col>
      <xdr:colOff>1072341</xdr:colOff>
      <xdr:row>163</xdr:row>
      <xdr:rowOff>26586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" y="27323935"/>
          <a:ext cx="1030778" cy="985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66502</xdr:colOff>
      <xdr:row>39</xdr:row>
      <xdr:rowOff>24939</xdr:rowOff>
    </xdr:from>
    <xdr:to>
      <xdr:col>0</xdr:col>
      <xdr:colOff>1078923</xdr:colOff>
      <xdr:row>41</xdr:row>
      <xdr:rowOff>50471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" y="5777346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</xdr:colOff>
      <xdr:row>71</xdr:row>
      <xdr:rowOff>41564</xdr:rowOff>
    </xdr:from>
    <xdr:to>
      <xdr:col>0</xdr:col>
      <xdr:colOff>1045672</xdr:colOff>
      <xdr:row>74</xdr:row>
      <xdr:rowOff>27215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1" y="11504815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85</xdr:row>
      <xdr:rowOff>83128</xdr:rowOff>
    </xdr:from>
    <xdr:to>
      <xdr:col>0</xdr:col>
      <xdr:colOff>1062298</xdr:colOff>
      <xdr:row>88</xdr:row>
      <xdr:rowOff>50768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13458306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97</xdr:row>
      <xdr:rowOff>138447</xdr:rowOff>
    </xdr:from>
    <xdr:to>
      <xdr:col>0</xdr:col>
      <xdr:colOff>1045078</xdr:colOff>
      <xdr:row>99</xdr:row>
      <xdr:rowOff>136666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17152818"/>
          <a:ext cx="1012421" cy="596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1012421</xdr:colOff>
      <xdr:row>168</xdr:row>
      <xdr:rowOff>75111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87469"/>
          <a:ext cx="1012421" cy="615142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15</xdr:row>
      <xdr:rowOff>8314</xdr:rowOff>
    </xdr:from>
    <xdr:to>
      <xdr:col>0</xdr:col>
      <xdr:colOff>1113906</xdr:colOff>
      <xdr:row>18</xdr:row>
      <xdr:rowOff>937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2136372"/>
          <a:ext cx="1039091" cy="74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174569</xdr:colOff>
      <xdr:row>20</xdr:row>
      <xdr:rowOff>49877</xdr:rowOff>
    </xdr:from>
    <xdr:to>
      <xdr:col>0</xdr:col>
      <xdr:colOff>997529</xdr:colOff>
      <xdr:row>24</xdr:row>
      <xdr:rowOff>1761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9" y="3125586"/>
          <a:ext cx="822960" cy="790578"/>
        </a:xfrm>
        <a:prstGeom prst="rect">
          <a:avLst/>
        </a:prstGeom>
      </xdr:spPr>
    </xdr:pic>
    <xdr:clientData/>
  </xdr:twoCellAnchor>
  <xdr:twoCellAnchor editAs="oneCell">
    <xdr:from>
      <xdr:col>0</xdr:col>
      <xdr:colOff>199505</xdr:colOff>
      <xdr:row>115</xdr:row>
      <xdr:rowOff>66502</xdr:rowOff>
    </xdr:from>
    <xdr:to>
      <xdr:col>0</xdr:col>
      <xdr:colOff>955965</xdr:colOff>
      <xdr:row>117</xdr:row>
      <xdr:rowOff>110071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05" y="19518284"/>
          <a:ext cx="756460" cy="660492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110</xdr:row>
      <xdr:rowOff>216130</xdr:rowOff>
    </xdr:from>
    <xdr:to>
      <xdr:col>0</xdr:col>
      <xdr:colOff>1047403</xdr:colOff>
      <xdr:row>113</xdr:row>
      <xdr:rowOff>102782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18387752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99753</xdr:colOff>
      <xdr:row>119</xdr:row>
      <xdr:rowOff>66502</xdr:rowOff>
    </xdr:from>
    <xdr:to>
      <xdr:col>0</xdr:col>
      <xdr:colOff>1064029</xdr:colOff>
      <xdr:row>122</xdr:row>
      <xdr:rowOff>63891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3" y="20449309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132</xdr:row>
      <xdr:rowOff>0</xdr:rowOff>
    </xdr:from>
    <xdr:to>
      <xdr:col>0</xdr:col>
      <xdr:colOff>1055716</xdr:colOff>
      <xdr:row>135</xdr:row>
      <xdr:rowOff>111095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2544116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149</xdr:row>
      <xdr:rowOff>33251</xdr:rowOff>
    </xdr:from>
    <xdr:to>
      <xdr:col>0</xdr:col>
      <xdr:colOff>1047403</xdr:colOff>
      <xdr:row>152</xdr:row>
      <xdr:rowOff>30640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" y="25320567"/>
          <a:ext cx="964276" cy="7612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141</xdr:row>
      <xdr:rowOff>146959</xdr:rowOff>
    </xdr:from>
    <xdr:to>
      <xdr:col>0</xdr:col>
      <xdr:colOff>1039586</xdr:colOff>
      <xdr:row>143</xdr:row>
      <xdr:rowOff>103762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6AE8017-4C25-491B-8E4E-8DB990D1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4530959"/>
          <a:ext cx="1012371" cy="550074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155</xdr:row>
      <xdr:rowOff>59872</xdr:rowOff>
    </xdr:from>
    <xdr:to>
      <xdr:col>0</xdr:col>
      <xdr:colOff>1045028</xdr:colOff>
      <xdr:row>157</xdr:row>
      <xdr:rowOff>16675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7BEA887C-8486-40E6-B59E-FC725BCD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27002015"/>
          <a:ext cx="1012371" cy="550074"/>
        </a:xfrm>
        <a:prstGeom prst="rect">
          <a:avLst/>
        </a:prstGeom>
      </xdr:spPr>
    </xdr:pic>
    <xdr:clientData/>
  </xdr:twoCellAnchor>
  <xdr:oneCellAnchor>
    <xdr:from>
      <xdr:col>0</xdr:col>
      <xdr:colOff>47006</xdr:colOff>
      <xdr:row>80</xdr:row>
      <xdr:rowOff>229293</xdr:rowOff>
    </xdr:from>
    <xdr:ext cx="1039091" cy="903250"/>
    <xdr:pic>
      <xdr:nvPicPr>
        <xdr:cNvPr id="27" name="Grafik 26">
          <a:extLst>
            <a:ext uri="{FF2B5EF4-FFF2-40B4-BE49-F238E27FC236}">
              <a16:creationId xmlns:a16="http://schemas.microsoft.com/office/drawing/2014/main" id="{497F6EAE-5B43-45A8-B6EC-6A352E6B9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06" y="13754793"/>
          <a:ext cx="1039091" cy="9032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216131</xdr:colOff>
      <xdr:row>2</xdr:row>
      <xdr:rowOff>33251</xdr:rowOff>
    </xdr:from>
    <xdr:to>
      <xdr:col>0</xdr:col>
      <xdr:colOff>981027</xdr:colOff>
      <xdr:row>5</xdr:row>
      <xdr:rowOff>143451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33251"/>
          <a:ext cx="764896" cy="947806"/>
        </a:xfrm>
        <a:prstGeom prst="rect">
          <a:avLst/>
        </a:prstGeom>
      </xdr:spPr>
    </xdr:pic>
    <xdr:clientData/>
  </xdr:twoCellAnchor>
  <xdr:twoCellAnchor editAs="oneCell">
    <xdr:from>
      <xdr:col>0</xdr:col>
      <xdr:colOff>193158</xdr:colOff>
      <xdr:row>10</xdr:row>
      <xdr:rowOff>49860</xdr:rowOff>
    </xdr:from>
    <xdr:to>
      <xdr:col>0</xdr:col>
      <xdr:colOff>956094</xdr:colOff>
      <xdr:row>15</xdr:row>
      <xdr:rowOff>43344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67" y="2004276"/>
          <a:ext cx="980918" cy="762936"/>
        </a:xfrm>
        <a:prstGeom prst="rect">
          <a:avLst/>
        </a:prstGeom>
      </xdr:spPr>
    </xdr:pic>
    <xdr:clientData/>
  </xdr:twoCellAnchor>
  <xdr:oneCellAnchor>
    <xdr:from>
      <xdr:col>0</xdr:col>
      <xdr:colOff>108065</xdr:colOff>
      <xdr:row>74</xdr:row>
      <xdr:rowOff>133004</xdr:rowOff>
    </xdr:from>
    <xdr:ext cx="839723" cy="764896"/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62145949"/>
          <a:ext cx="839723" cy="764896"/>
        </a:xfrm>
        <a:prstGeom prst="rect">
          <a:avLst/>
        </a:prstGeom>
      </xdr:spPr>
    </xdr:pic>
    <xdr:clientData/>
  </xdr:oneCellAnchor>
  <xdr:twoCellAnchor editAs="oneCell">
    <xdr:from>
      <xdr:col>0</xdr:col>
      <xdr:colOff>149630</xdr:colOff>
      <xdr:row>80</xdr:row>
      <xdr:rowOff>74814</xdr:rowOff>
    </xdr:from>
    <xdr:to>
      <xdr:col>0</xdr:col>
      <xdr:colOff>997650</xdr:colOff>
      <xdr:row>84</xdr:row>
      <xdr:rowOff>155930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30" y="4339243"/>
          <a:ext cx="848020" cy="762265"/>
        </a:xfrm>
        <a:prstGeom prst="rect">
          <a:avLst/>
        </a:prstGeom>
      </xdr:spPr>
    </xdr:pic>
    <xdr:clientData/>
  </xdr:twoCellAnchor>
  <xdr:twoCellAnchor editAs="oneCell">
    <xdr:from>
      <xdr:col>0</xdr:col>
      <xdr:colOff>108065</xdr:colOff>
      <xdr:row>108</xdr:row>
      <xdr:rowOff>19113</xdr:rowOff>
    </xdr:from>
    <xdr:to>
      <xdr:col>0</xdr:col>
      <xdr:colOff>1072341</xdr:colOff>
      <xdr:row>111</xdr:row>
      <xdr:rowOff>119361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65" y="14416757"/>
          <a:ext cx="964276" cy="705989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92</xdr:row>
      <xdr:rowOff>182881</xdr:rowOff>
    </xdr:from>
    <xdr:to>
      <xdr:col>0</xdr:col>
      <xdr:colOff>1080655</xdr:colOff>
      <xdr:row>96</xdr:row>
      <xdr:rowOff>75410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6375863"/>
          <a:ext cx="1030778" cy="55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182994</xdr:colOff>
      <xdr:row>100</xdr:row>
      <xdr:rowOff>74815</xdr:rowOff>
    </xdr:from>
    <xdr:to>
      <xdr:col>0</xdr:col>
      <xdr:colOff>881264</xdr:colOff>
      <xdr:row>102</xdr:row>
      <xdr:rowOff>125780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94" y="7439891"/>
          <a:ext cx="698270" cy="4987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138</xdr:row>
      <xdr:rowOff>33253</xdr:rowOff>
    </xdr:from>
    <xdr:to>
      <xdr:col>0</xdr:col>
      <xdr:colOff>970057</xdr:colOff>
      <xdr:row>141</xdr:row>
      <xdr:rowOff>125978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18346191"/>
          <a:ext cx="853679" cy="698465"/>
        </a:xfrm>
        <a:prstGeom prst="rect">
          <a:avLst/>
        </a:prstGeom>
      </xdr:spPr>
    </xdr:pic>
    <xdr:clientData/>
  </xdr:twoCellAnchor>
  <xdr:oneCellAnchor>
    <xdr:from>
      <xdr:col>0</xdr:col>
      <xdr:colOff>124690</xdr:colOff>
      <xdr:row>62</xdr:row>
      <xdr:rowOff>58190</xdr:rowOff>
    </xdr:from>
    <xdr:ext cx="914550" cy="590300"/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" y="25644765"/>
          <a:ext cx="914550" cy="590300"/>
        </a:xfrm>
        <a:prstGeom prst="rect">
          <a:avLst/>
        </a:prstGeom>
      </xdr:spPr>
    </xdr:pic>
    <xdr:clientData/>
  </xdr:oneCellAnchor>
  <xdr:twoCellAnchor editAs="oneCell">
    <xdr:from>
      <xdr:col>0</xdr:col>
      <xdr:colOff>116378</xdr:colOff>
      <xdr:row>146</xdr:row>
      <xdr:rowOff>148523</xdr:rowOff>
    </xdr:from>
    <xdr:to>
      <xdr:col>0</xdr:col>
      <xdr:colOff>931025</xdr:colOff>
      <xdr:row>149</xdr:row>
      <xdr:rowOff>154945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13282632"/>
          <a:ext cx="814647" cy="612162"/>
        </a:xfrm>
        <a:prstGeom prst="rect">
          <a:avLst/>
        </a:prstGeom>
      </xdr:spPr>
    </xdr:pic>
    <xdr:clientData/>
  </xdr:twoCellAnchor>
  <xdr:twoCellAnchor editAs="oneCell">
    <xdr:from>
      <xdr:col>0</xdr:col>
      <xdr:colOff>62139</xdr:colOff>
      <xdr:row>152</xdr:row>
      <xdr:rowOff>49876</xdr:rowOff>
    </xdr:from>
    <xdr:to>
      <xdr:col>0</xdr:col>
      <xdr:colOff>1014323</xdr:colOff>
      <xdr:row>153</xdr:row>
      <xdr:rowOff>163286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" y="14223076"/>
          <a:ext cx="952184" cy="332509"/>
        </a:xfrm>
        <a:prstGeom prst="rect">
          <a:avLst/>
        </a:prstGeom>
      </xdr:spPr>
    </xdr:pic>
    <xdr:clientData/>
  </xdr:twoCellAnchor>
  <xdr:twoCellAnchor editAs="oneCell">
    <xdr:from>
      <xdr:col>0</xdr:col>
      <xdr:colOff>340822</xdr:colOff>
      <xdr:row>158</xdr:row>
      <xdr:rowOff>8313</xdr:rowOff>
    </xdr:from>
    <xdr:to>
      <xdr:col>0</xdr:col>
      <xdr:colOff>864610</xdr:colOff>
      <xdr:row>162</xdr:row>
      <xdr:rowOff>92640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22" y="15079288"/>
          <a:ext cx="523788" cy="681755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191193</xdr:colOff>
      <xdr:row>114</xdr:row>
      <xdr:rowOff>82002</xdr:rowOff>
    </xdr:from>
    <xdr:to>
      <xdr:col>0</xdr:col>
      <xdr:colOff>914399</xdr:colOff>
      <xdr:row>118</xdr:row>
      <xdr:rowOff>51266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3" y="7679835"/>
          <a:ext cx="723206" cy="732849"/>
        </a:xfrm>
        <a:prstGeom prst="rect">
          <a:avLst/>
        </a:prstGeom>
      </xdr:spPr>
    </xdr:pic>
    <xdr:clientData/>
  </xdr:twoCellAnchor>
  <xdr:twoCellAnchor editAs="oneCell">
    <xdr:from>
      <xdr:col>0</xdr:col>
      <xdr:colOff>74815</xdr:colOff>
      <xdr:row>120</xdr:row>
      <xdr:rowOff>74816</xdr:rowOff>
    </xdr:from>
    <xdr:to>
      <xdr:col>0</xdr:col>
      <xdr:colOff>1092105</xdr:colOff>
      <xdr:row>123</xdr:row>
      <xdr:rowOff>126074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5" y="8686801"/>
          <a:ext cx="1017290" cy="65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224443</xdr:colOff>
      <xdr:row>36</xdr:row>
      <xdr:rowOff>49878</xdr:rowOff>
    </xdr:from>
    <xdr:to>
      <xdr:col>0</xdr:col>
      <xdr:colOff>967024</xdr:colOff>
      <xdr:row>39</xdr:row>
      <xdr:rowOff>118759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" y="4862947"/>
          <a:ext cx="742581" cy="74053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149629</xdr:colOff>
      <xdr:row>42</xdr:row>
      <xdr:rowOff>49876</xdr:rowOff>
    </xdr:from>
    <xdr:to>
      <xdr:col>0</xdr:col>
      <xdr:colOff>967815</xdr:colOff>
      <xdr:row>45</xdr:row>
      <xdr:rowOff>51860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9629" y="4231178"/>
          <a:ext cx="818186" cy="673534"/>
        </a:xfrm>
        <a:prstGeom prst="rect">
          <a:avLst/>
        </a:prstGeom>
      </xdr:spPr>
    </xdr:pic>
    <xdr:clientData/>
  </xdr:twoCellAnchor>
  <xdr:twoCellAnchor editAs="oneCell">
    <xdr:from>
      <xdr:col>0</xdr:col>
      <xdr:colOff>49877</xdr:colOff>
      <xdr:row>48</xdr:row>
      <xdr:rowOff>44566</xdr:rowOff>
    </xdr:from>
    <xdr:to>
      <xdr:col>0</xdr:col>
      <xdr:colOff>1030779</xdr:colOff>
      <xdr:row>50</xdr:row>
      <xdr:rowOff>147441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5306522"/>
          <a:ext cx="980902" cy="54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157942</xdr:colOff>
      <xdr:row>26</xdr:row>
      <xdr:rowOff>131756</xdr:rowOff>
    </xdr:from>
    <xdr:to>
      <xdr:col>0</xdr:col>
      <xdr:colOff>994920</xdr:colOff>
      <xdr:row>30</xdr:row>
      <xdr:rowOff>118218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42" y="3232403"/>
          <a:ext cx="836978" cy="816053"/>
        </a:xfrm>
        <a:prstGeom prst="rect">
          <a:avLst/>
        </a:prstGeom>
      </xdr:spPr>
    </xdr:pic>
    <xdr:clientData/>
  </xdr:twoCellAnchor>
  <xdr:oneCellAnchor>
    <xdr:from>
      <xdr:col>0</xdr:col>
      <xdr:colOff>124691</xdr:colOff>
      <xdr:row>68</xdr:row>
      <xdr:rowOff>108066</xdr:rowOff>
    </xdr:from>
    <xdr:ext cx="926588" cy="615255"/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1" y="18977957"/>
          <a:ext cx="926588" cy="615255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184</xdr:row>
      <xdr:rowOff>57150</xdr:rowOff>
    </xdr:from>
    <xdr:to>
      <xdr:col>0</xdr:col>
      <xdr:colOff>1114425</xdr:colOff>
      <xdr:row>187</xdr:row>
      <xdr:rowOff>8214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774275"/>
          <a:ext cx="1047750" cy="6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191192</xdr:colOff>
      <xdr:row>125</xdr:row>
      <xdr:rowOff>124691</xdr:rowOff>
    </xdr:from>
    <xdr:to>
      <xdr:col>0</xdr:col>
      <xdr:colOff>864523</xdr:colOff>
      <xdr:row>129</xdr:row>
      <xdr:rowOff>142685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2" y="17465040"/>
          <a:ext cx="673331" cy="7816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166253</xdr:colOff>
      <xdr:row>132</xdr:row>
      <xdr:rowOff>49876</xdr:rowOff>
    </xdr:from>
    <xdr:to>
      <xdr:col>0</xdr:col>
      <xdr:colOff>1014152</xdr:colOff>
      <xdr:row>135</xdr:row>
      <xdr:rowOff>152132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53" y="18429316"/>
          <a:ext cx="847899" cy="707996"/>
        </a:xfrm>
        <a:prstGeom prst="rect">
          <a:avLst/>
        </a:prstGeom>
      </xdr:spPr>
    </xdr:pic>
    <xdr:clientData/>
  </xdr:twoCellAnchor>
  <xdr:twoCellAnchor editAs="oneCell">
    <xdr:from>
      <xdr:col>0</xdr:col>
      <xdr:colOff>249382</xdr:colOff>
      <xdr:row>166</xdr:row>
      <xdr:rowOff>8314</xdr:rowOff>
    </xdr:from>
    <xdr:to>
      <xdr:col>0</xdr:col>
      <xdr:colOff>964276</xdr:colOff>
      <xdr:row>170</xdr:row>
      <xdr:rowOff>62147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82" y="23558270"/>
          <a:ext cx="714894" cy="744680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415638</xdr:colOff>
      <xdr:row>178</xdr:row>
      <xdr:rowOff>51201</xdr:rowOff>
    </xdr:from>
    <xdr:to>
      <xdr:col>0</xdr:col>
      <xdr:colOff>723207</xdr:colOff>
      <xdr:row>183</xdr:row>
      <xdr:rowOff>1319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8" y="24415805"/>
          <a:ext cx="307569" cy="722606"/>
        </a:xfrm>
        <a:prstGeom prst="rect">
          <a:avLst/>
        </a:prstGeom>
      </xdr:spPr>
    </xdr:pic>
    <xdr:clientData/>
  </xdr:twoCellAnchor>
  <xdr:twoCellAnchor editAs="oneCell">
    <xdr:from>
      <xdr:col>0</xdr:col>
      <xdr:colOff>58189</xdr:colOff>
      <xdr:row>188</xdr:row>
      <xdr:rowOff>65634</xdr:rowOff>
    </xdr:from>
    <xdr:to>
      <xdr:col>0</xdr:col>
      <xdr:colOff>1055716</xdr:colOff>
      <xdr:row>193</xdr:row>
      <xdr:rowOff>157541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89" y="25943154"/>
          <a:ext cx="997527" cy="732877"/>
        </a:xfrm>
        <a:prstGeom prst="rect">
          <a:avLst/>
        </a:prstGeom>
      </xdr:spPr>
    </xdr:pic>
    <xdr:clientData/>
  </xdr:twoCellAnchor>
  <xdr:twoCellAnchor editAs="oneCell">
    <xdr:from>
      <xdr:col>0</xdr:col>
      <xdr:colOff>34204</xdr:colOff>
      <xdr:row>55</xdr:row>
      <xdr:rowOff>98227</xdr:rowOff>
    </xdr:from>
    <xdr:to>
      <xdr:col>0</xdr:col>
      <xdr:colOff>1061932</xdr:colOff>
      <xdr:row>57</xdr:row>
      <xdr:rowOff>89261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9643">
          <a:off x="34204" y="8627085"/>
          <a:ext cx="1027728" cy="438733"/>
        </a:xfrm>
        <a:prstGeom prst="rect">
          <a:avLst/>
        </a:prstGeom>
      </xdr:spPr>
    </xdr:pic>
    <xdr:clientData/>
  </xdr:twoCellAnchor>
  <xdr:twoCellAnchor editAs="oneCell">
    <xdr:from>
      <xdr:col>0</xdr:col>
      <xdr:colOff>116378</xdr:colOff>
      <xdr:row>208</xdr:row>
      <xdr:rowOff>16625</xdr:rowOff>
    </xdr:from>
    <xdr:to>
      <xdr:col>0</xdr:col>
      <xdr:colOff>1025459</xdr:colOff>
      <xdr:row>212</xdr:row>
      <xdr:rowOff>101049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8" y="28254960"/>
          <a:ext cx="909081" cy="848106"/>
        </a:xfrm>
        <a:prstGeom prst="rect">
          <a:avLst/>
        </a:prstGeom>
      </xdr:spPr>
    </xdr:pic>
    <xdr:clientData/>
  </xdr:twoCellAnchor>
  <xdr:oneCellAnchor>
    <xdr:from>
      <xdr:col>0</xdr:col>
      <xdr:colOff>49877</xdr:colOff>
      <xdr:row>86</xdr:row>
      <xdr:rowOff>182881</xdr:rowOff>
    </xdr:from>
    <xdr:ext cx="1030778" cy="556952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7" y="13242176"/>
          <a:ext cx="1030778" cy="556952"/>
        </a:xfrm>
        <a:prstGeom prst="rect">
          <a:avLst/>
        </a:prstGeom>
      </xdr:spPr>
    </xdr:pic>
    <xdr:clientData/>
  </xdr:oneCellAnchor>
  <xdr:twoCellAnchor editAs="oneCell">
    <xdr:from>
      <xdr:col>0</xdr:col>
      <xdr:colOff>217715</xdr:colOff>
      <xdr:row>196</xdr:row>
      <xdr:rowOff>10885</xdr:rowOff>
    </xdr:from>
    <xdr:to>
      <xdr:col>0</xdr:col>
      <xdr:colOff>974272</xdr:colOff>
      <xdr:row>200</xdr:row>
      <xdr:rowOff>48596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1BE91A3-0CFD-8BF7-1E4A-603637C4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31949571"/>
          <a:ext cx="756557" cy="745282"/>
        </a:xfrm>
        <a:prstGeom prst="rect">
          <a:avLst/>
        </a:prstGeom>
      </xdr:spPr>
    </xdr:pic>
    <xdr:clientData/>
  </xdr:twoCellAnchor>
  <xdr:twoCellAnchor editAs="oneCell">
    <xdr:from>
      <xdr:col>0</xdr:col>
      <xdr:colOff>223157</xdr:colOff>
      <xdr:row>202</xdr:row>
      <xdr:rowOff>19572</xdr:rowOff>
    </xdr:from>
    <xdr:to>
      <xdr:col>0</xdr:col>
      <xdr:colOff>963386</xdr:colOff>
      <xdr:row>205</xdr:row>
      <xdr:rowOff>135301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101D70B-7BD1-953C-6493-C00867734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" y="32829115"/>
          <a:ext cx="740229" cy="665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119744</xdr:colOff>
      <xdr:row>172</xdr:row>
      <xdr:rowOff>76199</xdr:rowOff>
    </xdr:from>
    <xdr:to>
      <xdr:col>0</xdr:col>
      <xdr:colOff>1044882</xdr:colOff>
      <xdr:row>177</xdr:row>
      <xdr:rowOff>10886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3C08954-6C0A-86B5-A8E7-05FB47A7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4" y="29391428"/>
          <a:ext cx="925138" cy="718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8313</xdr:colOff>
      <xdr:row>2</xdr:row>
      <xdr:rowOff>24939</xdr:rowOff>
    </xdr:from>
    <xdr:ext cx="1064203" cy="731640"/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" y="290946"/>
          <a:ext cx="1064203" cy="731640"/>
        </a:xfrm>
        <a:prstGeom prst="rect">
          <a:avLst/>
        </a:prstGeom>
      </xdr:spPr>
    </xdr:pic>
    <xdr:clientData/>
  </xdr:oneCellAnchor>
  <xdr:oneCellAnchor>
    <xdr:from>
      <xdr:col>0</xdr:col>
      <xdr:colOff>41564</xdr:colOff>
      <xdr:row>10</xdr:row>
      <xdr:rowOff>41563</xdr:rowOff>
    </xdr:from>
    <xdr:ext cx="1012824" cy="665138"/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4" y="1695796"/>
          <a:ext cx="1012824" cy="665138"/>
        </a:xfrm>
        <a:prstGeom prst="rect">
          <a:avLst/>
        </a:prstGeom>
      </xdr:spPr>
    </xdr:pic>
    <xdr:clientData/>
  </xdr:oneCellAnchor>
  <xdr:oneCellAnchor>
    <xdr:from>
      <xdr:col>0</xdr:col>
      <xdr:colOff>116376</xdr:colOff>
      <xdr:row>24</xdr:row>
      <xdr:rowOff>0</xdr:rowOff>
    </xdr:from>
    <xdr:ext cx="937675" cy="897774"/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76" y="2859578"/>
          <a:ext cx="937675" cy="897774"/>
        </a:xfrm>
        <a:prstGeom prst="rect">
          <a:avLst/>
        </a:prstGeom>
      </xdr:spPr>
    </xdr:pic>
    <xdr:clientData/>
  </xdr:oneCellAnchor>
  <xdr:oneCellAnchor>
    <xdr:from>
      <xdr:col>0</xdr:col>
      <xdr:colOff>91441</xdr:colOff>
      <xdr:row>46</xdr:row>
      <xdr:rowOff>66502</xdr:rowOff>
    </xdr:from>
    <xdr:ext cx="1022465" cy="842588"/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5852160"/>
          <a:ext cx="1022465" cy="842588"/>
        </a:xfrm>
        <a:prstGeom prst="rect">
          <a:avLst/>
        </a:prstGeom>
      </xdr:spPr>
    </xdr:pic>
    <xdr:clientData/>
  </xdr:oneCellAnchor>
  <xdr:oneCellAnchor>
    <xdr:from>
      <xdr:col>0</xdr:col>
      <xdr:colOff>274321</xdr:colOff>
      <xdr:row>54</xdr:row>
      <xdr:rowOff>108065</xdr:rowOff>
    </xdr:from>
    <xdr:ext cx="628842" cy="886319"/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1" y="7099069"/>
          <a:ext cx="628842" cy="886319"/>
        </a:xfrm>
        <a:prstGeom prst="rect">
          <a:avLst/>
        </a:prstGeom>
      </xdr:spPr>
    </xdr:pic>
    <xdr:clientData/>
  </xdr:oneCellAnchor>
  <xdr:oneCellAnchor>
    <xdr:from>
      <xdr:col>0</xdr:col>
      <xdr:colOff>216131</xdr:colOff>
      <xdr:row>63</xdr:row>
      <xdr:rowOff>16625</xdr:rowOff>
    </xdr:from>
    <xdr:ext cx="839586" cy="731640"/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31" y="9601200"/>
          <a:ext cx="839586" cy="731640"/>
        </a:xfrm>
        <a:prstGeom prst="rect">
          <a:avLst/>
        </a:prstGeom>
      </xdr:spPr>
    </xdr:pic>
    <xdr:clientData/>
  </xdr:oneCellAnchor>
  <xdr:oneCellAnchor>
    <xdr:from>
      <xdr:col>0</xdr:col>
      <xdr:colOff>224444</xdr:colOff>
      <xdr:row>70</xdr:row>
      <xdr:rowOff>83127</xdr:rowOff>
    </xdr:from>
    <xdr:ext cx="778528" cy="806334"/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4" y="10839796"/>
          <a:ext cx="778528" cy="806334"/>
        </a:xfrm>
        <a:prstGeom prst="rect">
          <a:avLst/>
        </a:prstGeom>
      </xdr:spPr>
    </xdr:pic>
    <xdr:clientData/>
  </xdr:oneCellAnchor>
  <xdr:oneCellAnchor>
    <xdr:from>
      <xdr:col>0</xdr:col>
      <xdr:colOff>282630</xdr:colOff>
      <xdr:row>78</xdr:row>
      <xdr:rowOff>108066</xdr:rowOff>
    </xdr:from>
    <xdr:ext cx="756460" cy="1021192"/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630" y="12228022"/>
          <a:ext cx="756460" cy="1021192"/>
        </a:xfrm>
        <a:prstGeom prst="rect">
          <a:avLst/>
        </a:prstGeom>
      </xdr:spPr>
    </xdr:pic>
    <xdr:clientData/>
  </xdr:oneCellAnchor>
  <xdr:oneCellAnchor>
    <xdr:from>
      <xdr:col>0</xdr:col>
      <xdr:colOff>133003</xdr:colOff>
      <xdr:row>86</xdr:row>
      <xdr:rowOff>157941</xdr:rowOff>
    </xdr:from>
    <xdr:ext cx="838682" cy="847900"/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03" y="11779134"/>
          <a:ext cx="838682" cy="847900"/>
        </a:xfrm>
        <a:prstGeom prst="rect">
          <a:avLst/>
        </a:prstGeom>
      </xdr:spPr>
    </xdr:pic>
    <xdr:clientData/>
  </xdr:oneCellAnchor>
  <xdr:oneCellAnchor>
    <xdr:from>
      <xdr:col>0</xdr:col>
      <xdr:colOff>61465</xdr:colOff>
      <xdr:row>98</xdr:row>
      <xdr:rowOff>133004</xdr:rowOff>
    </xdr:from>
    <xdr:ext cx="1002745" cy="648392"/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5" y="15611302"/>
          <a:ext cx="1002745" cy="648392"/>
        </a:xfrm>
        <a:prstGeom prst="rect">
          <a:avLst/>
        </a:prstGeom>
      </xdr:spPr>
    </xdr:pic>
    <xdr:clientData/>
  </xdr:oneCellAnchor>
  <xdr:oneCellAnchor>
    <xdr:from>
      <xdr:col>0</xdr:col>
      <xdr:colOff>55972</xdr:colOff>
      <xdr:row>130</xdr:row>
      <xdr:rowOff>141317</xdr:rowOff>
    </xdr:from>
    <xdr:ext cx="914400" cy="623454"/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2" y="20083550"/>
          <a:ext cx="914400" cy="623454"/>
        </a:xfrm>
        <a:prstGeom prst="rect">
          <a:avLst/>
        </a:prstGeom>
      </xdr:spPr>
    </xdr:pic>
    <xdr:clientData/>
  </xdr:oneCellAnchor>
  <xdr:oneCellAnchor>
    <xdr:from>
      <xdr:col>0</xdr:col>
      <xdr:colOff>141316</xdr:colOff>
      <xdr:row>136</xdr:row>
      <xdr:rowOff>91439</xdr:rowOff>
    </xdr:from>
    <xdr:ext cx="906260" cy="670775"/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16" y="21081075"/>
          <a:ext cx="906260" cy="670775"/>
        </a:xfrm>
        <a:prstGeom prst="rect">
          <a:avLst/>
        </a:prstGeom>
      </xdr:spPr>
    </xdr:pic>
    <xdr:clientData/>
  </xdr:oneCellAnchor>
  <xdr:oneCellAnchor>
    <xdr:from>
      <xdr:col>0</xdr:col>
      <xdr:colOff>41563</xdr:colOff>
      <xdr:row>142</xdr:row>
      <xdr:rowOff>74814</xdr:rowOff>
    </xdr:from>
    <xdr:ext cx="936820" cy="886454"/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" y="22111854"/>
          <a:ext cx="936820" cy="886454"/>
        </a:xfrm>
        <a:prstGeom prst="rect">
          <a:avLst/>
        </a:prstGeom>
      </xdr:spPr>
    </xdr:pic>
    <xdr:clientData/>
  </xdr:oneCellAnchor>
  <xdr:twoCellAnchor editAs="oneCell">
    <xdr:from>
      <xdr:col>0</xdr:col>
      <xdr:colOff>146958</xdr:colOff>
      <xdr:row>18</xdr:row>
      <xdr:rowOff>48985</xdr:rowOff>
    </xdr:from>
    <xdr:to>
      <xdr:col>0</xdr:col>
      <xdr:colOff>1126672</xdr:colOff>
      <xdr:row>22</xdr:row>
      <xdr:rowOff>42941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FBF8856-517C-4E34-BE1B-BC7F2E04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906485"/>
          <a:ext cx="979714" cy="6960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154</xdr:row>
      <xdr:rowOff>54428</xdr:rowOff>
    </xdr:from>
    <xdr:to>
      <xdr:col>0</xdr:col>
      <xdr:colOff>1143000</xdr:colOff>
      <xdr:row>159</xdr:row>
      <xdr:rowOff>138934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92A855C-FACD-56BB-CE1B-6729C481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5510671"/>
          <a:ext cx="1034143" cy="944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wurzer-profile.de/metallinformation-kupfer-zink-dachrinnen-ablaufrohre-2-2-2-3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uedmetall.de/service/metallnotierungen.html" TargetMode="External"/><Relationship Id="rId1" Type="http://schemas.openxmlformats.org/officeDocument/2006/relationships/hyperlink" Target="https://www.suedmetall.de/service/metallnotierungen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palmer-bleche.com/de/unternehmen/service.html" TargetMode="External"/><Relationship Id="rId4" Type="http://schemas.openxmlformats.org/officeDocument/2006/relationships/hyperlink" Target="https://www.suedmetall.de/service/metallnotierungen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10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1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FF0000"/>
  </sheetPr>
  <dimension ref="A1:N43"/>
  <sheetViews>
    <sheetView showGridLines="0" tabSelected="1" view="pageBreakPreview" zoomScaleNormal="100" zoomScaleSheetLayoutView="100" workbookViewId="0">
      <selection sqref="A1:B1"/>
    </sheetView>
  </sheetViews>
  <sheetFormatPr baseColWidth="10" defaultColWidth="11.25" defaultRowHeight="18.649999999999999" customHeight="1" outlineLevelCol="1" x14ac:dyDescent="0.55000000000000004"/>
  <cols>
    <col min="1" max="1" width="3.75" style="1" customWidth="1"/>
    <col min="2" max="2" width="30.25" style="1" customWidth="1"/>
    <col min="3" max="3" width="3.75" style="1" customWidth="1"/>
    <col min="4" max="4" width="30.25" style="1" customWidth="1"/>
    <col min="5" max="5" width="3.75" style="1" customWidth="1"/>
    <col min="6" max="6" width="30.25" style="1" customWidth="1"/>
    <col min="7" max="7" width="3.75" style="1" customWidth="1"/>
    <col min="8" max="8" width="30.25" style="1" customWidth="1"/>
    <col min="9" max="9" width="3.75" style="1" customWidth="1"/>
    <col min="10" max="10" width="30.25" style="1" customWidth="1"/>
    <col min="11" max="11" width="5.75" style="1" hidden="1" customWidth="1" outlineLevel="1"/>
    <col min="12" max="12" width="26.75" style="1" hidden="1" customWidth="1" outlineLevel="1"/>
    <col min="13" max="13" width="11.25" style="1" hidden="1" customWidth="1" outlineLevel="1"/>
    <col min="14" max="14" width="11.25" style="1" customWidth="1" collapsed="1"/>
    <col min="15" max="16384" width="11.25" style="1"/>
  </cols>
  <sheetData>
    <row r="1" spans="1:13" ht="18.649999999999999" customHeight="1" x14ac:dyDescent="0.55000000000000004">
      <c r="A1" s="376" t="s">
        <v>420</v>
      </c>
      <c r="B1" s="377"/>
      <c r="C1" s="378" t="s">
        <v>437</v>
      </c>
      <c r="D1" s="379"/>
      <c r="E1" s="460" t="s">
        <v>451</v>
      </c>
      <c r="F1" s="386"/>
      <c r="G1" s="387" t="s">
        <v>460</v>
      </c>
      <c r="H1" s="388"/>
      <c r="I1" s="383" t="s">
        <v>488</v>
      </c>
      <c r="J1" s="384"/>
      <c r="K1" s="401" t="s">
        <v>507</v>
      </c>
      <c r="L1" s="406"/>
    </row>
    <row r="2" spans="1:13" ht="18.649999999999999" customHeight="1" x14ac:dyDescent="0.55000000000000004">
      <c r="B2" s="2" t="s">
        <v>450</v>
      </c>
      <c r="D2" s="3" t="s">
        <v>450</v>
      </c>
      <c r="E2" s="459"/>
      <c r="F2" s="4" t="s">
        <v>458</v>
      </c>
      <c r="H2" s="5" t="s">
        <v>469</v>
      </c>
      <c r="J2" s="4" t="s">
        <v>489</v>
      </c>
    </row>
    <row r="3" spans="1:13" ht="18.649999999999999" customHeight="1" x14ac:dyDescent="0.55000000000000004">
      <c r="B3" s="6" t="s">
        <v>426</v>
      </c>
      <c r="D3" s="3" t="s">
        <v>426</v>
      </c>
      <c r="E3" s="459"/>
      <c r="F3" s="2" t="s">
        <v>542</v>
      </c>
      <c r="H3" s="7" t="s">
        <v>476</v>
      </c>
      <c r="J3" s="4" t="s">
        <v>809</v>
      </c>
    </row>
    <row r="4" spans="1:13" ht="18.649999999999999" customHeight="1" x14ac:dyDescent="0.55000000000000004">
      <c r="B4" s="2" t="s">
        <v>430</v>
      </c>
      <c r="D4" s="3" t="s">
        <v>430</v>
      </c>
      <c r="E4" s="459"/>
      <c r="F4" s="4"/>
      <c r="H4" s="5" t="s">
        <v>508</v>
      </c>
      <c r="J4" s="4" t="s">
        <v>389</v>
      </c>
      <c r="K4" s="402" t="s">
        <v>567</v>
      </c>
      <c r="L4" s="403"/>
    </row>
    <row r="5" spans="1:13" ht="18.649999999999999" customHeight="1" x14ac:dyDescent="0.55000000000000004">
      <c r="B5" s="8" t="s">
        <v>421</v>
      </c>
      <c r="D5" s="3" t="s">
        <v>421</v>
      </c>
      <c r="E5" s="459"/>
      <c r="F5" s="2" t="s">
        <v>455</v>
      </c>
      <c r="H5" s="3" t="s">
        <v>475</v>
      </c>
      <c r="J5" s="4" t="s">
        <v>367</v>
      </c>
      <c r="K5" s="404"/>
      <c r="L5" s="405"/>
    </row>
    <row r="6" spans="1:13" ht="18.649999999999999" customHeight="1" x14ac:dyDescent="0.55000000000000004">
      <c r="B6" s="2" t="s">
        <v>425</v>
      </c>
      <c r="D6" s="3" t="s">
        <v>425</v>
      </c>
      <c r="E6" s="459"/>
      <c r="F6" s="2" t="s">
        <v>456</v>
      </c>
      <c r="H6" s="5" t="s">
        <v>474</v>
      </c>
      <c r="J6" s="4" t="s">
        <v>490</v>
      </c>
    </row>
    <row r="7" spans="1:13" ht="18.649999999999999" customHeight="1" x14ac:dyDescent="0.55000000000000004">
      <c r="B7" s="2" t="s">
        <v>429</v>
      </c>
      <c r="D7" s="3" t="s">
        <v>435</v>
      </c>
      <c r="E7" s="459"/>
      <c r="F7" s="4" t="s">
        <v>457</v>
      </c>
      <c r="H7" s="5" t="s">
        <v>819</v>
      </c>
      <c r="J7" s="4" t="s">
        <v>491</v>
      </c>
      <c r="K7" s="407" t="s">
        <v>760</v>
      </c>
      <c r="L7" s="408"/>
    </row>
    <row r="8" spans="1:13" ht="18.649999999999999" customHeight="1" x14ac:dyDescent="0.55000000000000004">
      <c r="B8" s="2" t="s">
        <v>435</v>
      </c>
      <c r="D8" s="3" t="s">
        <v>431</v>
      </c>
      <c r="E8" s="459"/>
      <c r="F8" s="4"/>
      <c r="H8" s="5" t="s">
        <v>473</v>
      </c>
      <c r="J8" s="4" t="s">
        <v>341</v>
      </c>
      <c r="K8" s="407"/>
      <c r="L8" s="408"/>
    </row>
    <row r="9" spans="1:13" ht="18.649999999999999" customHeight="1" x14ac:dyDescent="0.55000000000000004">
      <c r="B9" s="2" t="s">
        <v>431</v>
      </c>
      <c r="D9" s="3" t="s">
        <v>424</v>
      </c>
      <c r="E9" s="459"/>
      <c r="F9" s="2" t="s">
        <v>554</v>
      </c>
      <c r="H9" s="5" t="s">
        <v>472</v>
      </c>
      <c r="J9" s="4" t="s">
        <v>492</v>
      </c>
    </row>
    <row r="10" spans="1:13" ht="18.649999999999999" customHeight="1" x14ac:dyDescent="0.55000000000000004">
      <c r="B10" s="2" t="s">
        <v>424</v>
      </c>
      <c r="D10" s="3" t="s">
        <v>438</v>
      </c>
      <c r="E10" s="459"/>
      <c r="F10" s="2"/>
      <c r="H10" s="5" t="s">
        <v>471</v>
      </c>
      <c r="J10" s="4" t="s">
        <v>493</v>
      </c>
      <c r="K10" s="402" t="s">
        <v>568</v>
      </c>
      <c r="L10" s="403"/>
    </row>
    <row r="11" spans="1:13" ht="18.649999999999999" customHeight="1" x14ac:dyDescent="0.55000000000000004">
      <c r="B11" s="2" t="s">
        <v>427</v>
      </c>
      <c r="D11" s="3" t="s">
        <v>41</v>
      </c>
      <c r="E11" s="459"/>
      <c r="F11" s="2" t="s">
        <v>539</v>
      </c>
      <c r="H11" s="5" t="s">
        <v>470</v>
      </c>
      <c r="J11" s="4" t="s">
        <v>810</v>
      </c>
      <c r="K11" s="404"/>
      <c r="L11" s="405"/>
      <c r="M11" s="9"/>
    </row>
    <row r="12" spans="1:13" ht="18.649999999999999" customHeight="1" x14ac:dyDescent="0.55000000000000004">
      <c r="B12" s="2" t="s">
        <v>41</v>
      </c>
      <c r="D12" s="3" t="s">
        <v>439</v>
      </c>
      <c r="E12" s="459"/>
      <c r="F12" s="2" t="s">
        <v>452</v>
      </c>
      <c r="H12" s="5" t="s">
        <v>468</v>
      </c>
      <c r="J12" s="4" t="s">
        <v>811</v>
      </c>
    </row>
    <row r="13" spans="1:13" ht="18.649999999999999" customHeight="1" x14ac:dyDescent="0.55000000000000004">
      <c r="B13" s="2" t="s">
        <v>439</v>
      </c>
      <c r="D13" s="3" t="s">
        <v>440</v>
      </c>
      <c r="E13" s="459"/>
      <c r="F13" s="2"/>
      <c r="H13" s="5" t="s">
        <v>467</v>
      </c>
      <c r="J13" s="4" t="s">
        <v>360</v>
      </c>
    </row>
    <row r="14" spans="1:13" ht="18.649999999999999" customHeight="1" x14ac:dyDescent="0.55000000000000004">
      <c r="B14" s="2" t="s">
        <v>432</v>
      </c>
      <c r="D14" s="3" t="s">
        <v>434</v>
      </c>
      <c r="E14" s="459"/>
      <c r="F14" s="2" t="s">
        <v>555</v>
      </c>
      <c r="H14" s="5" t="s">
        <v>466</v>
      </c>
      <c r="J14" s="4" t="s">
        <v>390</v>
      </c>
      <c r="K14" s="1" t="s">
        <v>535</v>
      </c>
    </row>
    <row r="15" spans="1:13" ht="18.649999999999999" customHeight="1" x14ac:dyDescent="0.55000000000000004">
      <c r="B15" s="2" t="s">
        <v>434</v>
      </c>
      <c r="D15" s="3" t="s">
        <v>436</v>
      </c>
      <c r="E15" s="459"/>
      <c r="F15" s="2"/>
      <c r="H15" s="5" t="s">
        <v>465</v>
      </c>
      <c r="J15" s="4" t="s">
        <v>403</v>
      </c>
      <c r="K15" s="10">
        <v>1</v>
      </c>
      <c r="L15" s="376" t="s">
        <v>420</v>
      </c>
      <c r="M15" s="394"/>
    </row>
    <row r="16" spans="1:13" ht="18.649999999999999" customHeight="1" x14ac:dyDescent="0.55000000000000004">
      <c r="B16" s="2" t="s">
        <v>436</v>
      </c>
      <c r="D16" s="3" t="s">
        <v>428</v>
      </c>
      <c r="E16" s="459"/>
      <c r="F16" s="2" t="s">
        <v>540</v>
      </c>
      <c r="H16" s="5" t="s">
        <v>464</v>
      </c>
      <c r="J16" s="4" t="s">
        <v>812</v>
      </c>
      <c r="K16" s="10">
        <v>1</v>
      </c>
      <c r="L16" s="380" t="s">
        <v>446</v>
      </c>
      <c r="M16" s="380"/>
    </row>
    <row r="17" spans="1:13" ht="18.649999999999999" customHeight="1" x14ac:dyDescent="0.55000000000000004">
      <c r="B17" s="2" t="s">
        <v>428</v>
      </c>
      <c r="C17" s="382" t="s">
        <v>449</v>
      </c>
      <c r="D17" s="382"/>
      <c r="E17" s="459"/>
      <c r="F17" s="2" t="s">
        <v>453</v>
      </c>
      <c r="H17" s="5" t="s">
        <v>545</v>
      </c>
      <c r="J17" s="4" t="s">
        <v>494</v>
      </c>
      <c r="K17" s="10">
        <v>1</v>
      </c>
      <c r="L17" s="398" t="s">
        <v>437</v>
      </c>
      <c r="M17" s="396"/>
    </row>
    <row r="18" spans="1:13" ht="18.649999999999999" customHeight="1" x14ac:dyDescent="0.55000000000000004">
      <c r="B18" s="2" t="s">
        <v>433</v>
      </c>
      <c r="D18" s="11" t="s">
        <v>450</v>
      </c>
      <c r="E18" s="459"/>
      <c r="F18" s="2"/>
      <c r="H18" s="5" t="s">
        <v>463</v>
      </c>
      <c r="J18" s="345" t="s">
        <v>771</v>
      </c>
      <c r="K18" s="10">
        <v>1</v>
      </c>
      <c r="L18" s="382" t="s">
        <v>449</v>
      </c>
      <c r="M18" s="382"/>
    </row>
    <row r="19" spans="1:13" ht="18.649999999999999" customHeight="1" x14ac:dyDescent="0.55000000000000004">
      <c r="A19" s="380" t="s">
        <v>446</v>
      </c>
      <c r="B19" s="381"/>
      <c r="D19" s="11" t="s">
        <v>426</v>
      </c>
      <c r="E19" s="459"/>
      <c r="F19" s="2" t="s">
        <v>454</v>
      </c>
      <c r="H19" s="5" t="s">
        <v>462</v>
      </c>
      <c r="J19" s="4" t="s">
        <v>345</v>
      </c>
      <c r="K19" s="12">
        <v>1</v>
      </c>
      <c r="L19" s="389" t="s">
        <v>447</v>
      </c>
      <c r="M19" s="389"/>
    </row>
    <row r="20" spans="1:13" ht="18.649999999999999" customHeight="1" x14ac:dyDescent="0.55000000000000004">
      <c r="B20" s="4" t="s">
        <v>450</v>
      </c>
      <c r="D20" s="13" t="s">
        <v>430</v>
      </c>
      <c r="E20" s="459"/>
      <c r="F20" s="2"/>
      <c r="H20" s="5" t="s">
        <v>461</v>
      </c>
      <c r="J20" s="4" t="s">
        <v>813</v>
      </c>
      <c r="K20" s="12">
        <v>1</v>
      </c>
      <c r="L20" s="385" t="s">
        <v>451</v>
      </c>
      <c r="M20" s="399"/>
    </row>
    <row r="21" spans="1:13" ht="18.649999999999999" customHeight="1" x14ac:dyDescent="0.55000000000000004">
      <c r="B21" s="6" t="s">
        <v>426</v>
      </c>
      <c r="D21" s="11" t="s">
        <v>421</v>
      </c>
      <c r="E21" s="459"/>
      <c r="F21" s="2" t="s">
        <v>569</v>
      </c>
      <c r="H21" s="5" t="s">
        <v>570</v>
      </c>
      <c r="J21" s="2" t="s">
        <v>373</v>
      </c>
      <c r="K21" s="12">
        <v>1</v>
      </c>
      <c r="L21" s="400" t="s">
        <v>460</v>
      </c>
      <c r="M21" s="400"/>
    </row>
    <row r="22" spans="1:13" ht="18.649999999999999" customHeight="1" x14ac:dyDescent="0.55000000000000004">
      <c r="B22" s="4" t="s">
        <v>430</v>
      </c>
      <c r="D22" s="11" t="s">
        <v>425</v>
      </c>
      <c r="E22" s="459"/>
      <c r="F22" s="2"/>
      <c r="G22" s="390" t="s">
        <v>477</v>
      </c>
      <c r="H22" s="391"/>
      <c r="J22" s="2" t="s">
        <v>495</v>
      </c>
      <c r="K22" s="12">
        <v>1</v>
      </c>
      <c r="L22" s="395" t="s">
        <v>477</v>
      </c>
      <c r="M22" s="396"/>
    </row>
    <row r="23" spans="1:13" ht="18.649999999999999" customHeight="1" x14ac:dyDescent="0.55000000000000004">
      <c r="B23" s="4" t="s">
        <v>421</v>
      </c>
      <c r="D23" s="11" t="s">
        <v>431</v>
      </c>
      <c r="E23" s="459"/>
      <c r="F23" s="4" t="s">
        <v>538</v>
      </c>
      <c r="H23" s="11" t="s">
        <v>785</v>
      </c>
      <c r="J23" s="2" t="s">
        <v>379</v>
      </c>
      <c r="K23" s="12">
        <v>1</v>
      </c>
      <c r="L23" s="397" t="s">
        <v>488</v>
      </c>
      <c r="M23" s="397"/>
    </row>
    <row r="24" spans="1:13" ht="18.649999999999999" customHeight="1" x14ac:dyDescent="0.55000000000000004">
      <c r="B24" s="4" t="s">
        <v>425</v>
      </c>
      <c r="D24" s="11" t="s">
        <v>424</v>
      </c>
      <c r="E24" s="461"/>
      <c r="F24" s="4" t="s">
        <v>459</v>
      </c>
      <c r="H24" s="11" t="s">
        <v>482</v>
      </c>
      <c r="J24" s="4" t="s">
        <v>391</v>
      </c>
      <c r="K24" s="12">
        <v>1</v>
      </c>
      <c r="L24" s="380" t="s">
        <v>826</v>
      </c>
      <c r="M24" s="380"/>
    </row>
    <row r="25" spans="1:13" ht="18.649999999999999" customHeight="1" x14ac:dyDescent="0.55000000000000004">
      <c r="B25" s="4" t="s">
        <v>429</v>
      </c>
      <c r="D25" s="11" t="s">
        <v>438</v>
      </c>
      <c r="E25" s="459"/>
      <c r="F25" s="4"/>
      <c r="H25" s="11" t="s">
        <v>478</v>
      </c>
      <c r="J25" s="2" t="s">
        <v>496</v>
      </c>
    </row>
    <row r="26" spans="1:13" ht="18.649999999999999" customHeight="1" x14ac:dyDescent="0.55000000000000004">
      <c r="B26" s="334" t="s">
        <v>435</v>
      </c>
      <c r="C26" s="459"/>
      <c r="D26" s="11" t="s">
        <v>41</v>
      </c>
      <c r="E26" s="459"/>
      <c r="F26" s="2"/>
      <c r="H26" s="11" t="s">
        <v>479</v>
      </c>
      <c r="J26" s="2" t="s">
        <v>814</v>
      </c>
    </row>
    <row r="27" spans="1:13" ht="18.649999999999999" customHeight="1" x14ac:dyDescent="0.55000000000000004">
      <c r="B27" s="4" t="s">
        <v>431</v>
      </c>
      <c r="D27" s="11" t="s">
        <v>439</v>
      </c>
      <c r="E27" s="401" t="s">
        <v>826</v>
      </c>
      <c r="F27" s="381"/>
      <c r="H27" s="11" t="s">
        <v>480</v>
      </c>
      <c r="I27" s="392" t="s">
        <v>498</v>
      </c>
      <c r="J27" s="393"/>
    </row>
    <row r="28" spans="1:13" ht="18.649999999999999" customHeight="1" x14ac:dyDescent="0.55000000000000004">
      <c r="B28" s="4" t="s">
        <v>424</v>
      </c>
      <c r="D28" s="11" t="s">
        <v>434</v>
      </c>
      <c r="E28" s="459"/>
      <c r="F28" s="4" t="s">
        <v>873</v>
      </c>
      <c r="H28" s="11" t="s">
        <v>481</v>
      </c>
      <c r="I28" s="300" t="s">
        <v>571</v>
      </c>
      <c r="J28" s="14"/>
    </row>
    <row r="29" spans="1:13" ht="18.649999999999999" customHeight="1" x14ac:dyDescent="0.55000000000000004">
      <c r="B29" s="4" t="s">
        <v>41</v>
      </c>
      <c r="D29" s="11" t="s">
        <v>436</v>
      </c>
      <c r="E29" s="459"/>
      <c r="F29" s="4" t="s">
        <v>872</v>
      </c>
      <c r="H29" s="11" t="s">
        <v>483</v>
      </c>
      <c r="J29" s="4" t="s">
        <v>499</v>
      </c>
    </row>
    <row r="30" spans="1:13" ht="18.649999999999999" customHeight="1" x14ac:dyDescent="0.55000000000000004">
      <c r="B30" s="4" t="s">
        <v>439</v>
      </c>
      <c r="D30" s="11" t="s">
        <v>428</v>
      </c>
      <c r="E30" s="459"/>
      <c r="F30" s="4" t="s">
        <v>875</v>
      </c>
      <c r="H30" s="11" t="s">
        <v>755</v>
      </c>
      <c r="J30" s="4" t="s">
        <v>502</v>
      </c>
    </row>
    <row r="31" spans="1:13" ht="18.649999999999999" customHeight="1" x14ac:dyDescent="0.55000000000000004">
      <c r="B31" s="4" t="s">
        <v>825</v>
      </c>
      <c r="D31" s="11" t="s">
        <v>433</v>
      </c>
      <c r="E31" s="459"/>
      <c r="F31" s="4" t="s">
        <v>848</v>
      </c>
      <c r="H31" s="11" t="s">
        <v>484</v>
      </c>
      <c r="J31" s="4" t="s">
        <v>501</v>
      </c>
    </row>
    <row r="32" spans="1:13" ht="18.649999999999999" customHeight="1" x14ac:dyDescent="0.55000000000000004">
      <c r="B32" s="4" t="s">
        <v>434</v>
      </c>
      <c r="C32" s="389" t="s">
        <v>447</v>
      </c>
      <c r="D32" s="389"/>
      <c r="E32" s="459"/>
      <c r="F32" s="4" t="s">
        <v>859</v>
      </c>
      <c r="H32" s="11" t="s">
        <v>485</v>
      </c>
      <c r="J32" s="4" t="s">
        <v>503</v>
      </c>
    </row>
    <row r="33" spans="2:10" ht="18.649999999999999" customHeight="1" x14ac:dyDescent="0.55000000000000004">
      <c r="B33" s="4" t="s">
        <v>428</v>
      </c>
      <c r="D33" s="11" t="s">
        <v>448</v>
      </c>
      <c r="E33" s="459"/>
      <c r="F33" s="4" t="s">
        <v>871</v>
      </c>
      <c r="H33" s="11" t="s">
        <v>486</v>
      </c>
      <c r="J33" s="4" t="s">
        <v>504</v>
      </c>
    </row>
    <row r="34" spans="2:10" ht="18.649999999999999" customHeight="1" x14ac:dyDescent="0.55000000000000004">
      <c r="B34" s="4" t="s">
        <v>433</v>
      </c>
      <c r="D34" s="13" t="s">
        <v>41</v>
      </c>
      <c r="E34" s="459"/>
      <c r="F34" s="4" t="s">
        <v>874</v>
      </c>
      <c r="H34" s="11" t="s">
        <v>487</v>
      </c>
      <c r="J34" s="4" t="s">
        <v>505</v>
      </c>
    </row>
    <row r="35" spans="2:10" ht="18.649999999999999" customHeight="1" x14ac:dyDescent="0.55000000000000004">
      <c r="B35" s="14"/>
      <c r="E35" s="459"/>
      <c r="F35" s="4" t="s">
        <v>877</v>
      </c>
      <c r="G35" s="459"/>
      <c r="H35" s="15"/>
      <c r="I35" s="300" t="s">
        <v>572</v>
      </c>
      <c r="J35" s="14"/>
    </row>
    <row r="36" spans="2:10" ht="18.649999999999999" customHeight="1" x14ac:dyDescent="0.55000000000000004">
      <c r="C36" s="459"/>
      <c r="E36" s="459"/>
      <c r="F36" s="4" t="s">
        <v>876</v>
      </c>
      <c r="G36" s="459"/>
      <c r="H36" s="15"/>
      <c r="J36" s="4" t="s">
        <v>500</v>
      </c>
    </row>
    <row r="37" spans="2:10" ht="18.649999999999999" customHeight="1" x14ac:dyDescent="0.55000000000000004">
      <c r="C37" s="459"/>
      <c r="E37" s="459"/>
      <c r="F37" s="4"/>
      <c r="G37" s="459"/>
      <c r="H37" s="15"/>
      <c r="J37" s="4" t="s">
        <v>506</v>
      </c>
    </row>
    <row r="38" spans="2:10" ht="18.649999999999999" customHeight="1" x14ac:dyDescent="0.55000000000000004">
      <c r="H38" s="16"/>
    </row>
    <row r="39" spans="2:10" ht="18.649999999999999" customHeight="1" x14ac:dyDescent="0.55000000000000004">
      <c r="H39" s="16"/>
    </row>
    <row r="40" spans="2:10" ht="18.649999999999999" customHeight="1" x14ac:dyDescent="0.55000000000000004">
      <c r="H40" s="16"/>
    </row>
    <row r="41" spans="2:10" ht="18.649999999999999" customHeight="1" x14ac:dyDescent="0.55000000000000004">
      <c r="H41" s="15"/>
    </row>
    <row r="42" spans="2:10" ht="18.649999999999999" customHeight="1" x14ac:dyDescent="0.55000000000000004">
      <c r="H42" s="16"/>
    </row>
    <row r="43" spans="2:10" ht="18.649999999999999" customHeight="1" x14ac:dyDescent="0.55000000000000004">
      <c r="H43" s="16"/>
    </row>
  </sheetData>
  <sheetProtection algorithmName="SHA-512" hashValue="5y92t++HkKkOKuIDF56tgchux+n3ks+kRBMIjKuDAJrwaNGdpgMk4p5YGBfivzLRXHVsH835IRnhhDgv3KB/9Q==" saltValue="vcaP6w3nZ0f2NwJ+8Q1OOw==" spinCount="100000" sheet="1" objects="1" scenarios="1"/>
  <autoFilter ref="A1:M37" xr:uid="{00000000-0001-0000-0000-000000000000}">
    <filterColumn colId="0" showButton="0"/>
    <filterColumn colId="2" showButton="0"/>
    <filterColumn colId="4" showButton="0"/>
    <filterColumn colId="6" showButton="0"/>
    <filterColumn colId="8" showButton="0"/>
    <filterColumn colId="10" showButton="0"/>
  </autoFilter>
  <sortState xmlns:xlrd2="http://schemas.microsoft.com/office/spreadsheetml/2017/richdata2" ref="F20:F21">
    <sortCondition ref="F21"/>
  </sortState>
  <mergeCells count="25">
    <mergeCell ref="K10:L11"/>
    <mergeCell ref="K1:L1"/>
    <mergeCell ref="K4:L5"/>
    <mergeCell ref="K7:L8"/>
    <mergeCell ref="C32:D32"/>
    <mergeCell ref="G22:H22"/>
    <mergeCell ref="I27:J27"/>
    <mergeCell ref="L15:M15"/>
    <mergeCell ref="L16:M16"/>
    <mergeCell ref="L22:M22"/>
    <mergeCell ref="L23:M23"/>
    <mergeCell ref="L17:M17"/>
    <mergeCell ref="L18:M18"/>
    <mergeCell ref="L19:M19"/>
    <mergeCell ref="L20:M20"/>
    <mergeCell ref="L21:M21"/>
    <mergeCell ref="L24:M24"/>
    <mergeCell ref="E27:F27"/>
    <mergeCell ref="A1:B1"/>
    <mergeCell ref="C1:D1"/>
    <mergeCell ref="A19:B19"/>
    <mergeCell ref="C17:D17"/>
    <mergeCell ref="I1:J1"/>
    <mergeCell ref="E1:F1"/>
    <mergeCell ref="G1:H1"/>
  </mergeCells>
  <hyperlinks>
    <hyperlink ref="B5" location="Kupferdachrinnen" display="Kupferdachrinnen" xr:uid="{00000000-0004-0000-0000-000000000000}"/>
    <hyperlink ref="B3" location="Kupferablaufrohre" display="Kupferablaufrohre" xr:uid="{00000000-0004-0000-0000-000001000000}"/>
    <hyperlink ref="B12" location="Kupferummrinnenhaken" display="Kupfer-umm. Rinnenhaken" xr:uid="{00000000-0004-0000-0000-000002000000}"/>
    <hyperlink ref="B13" location="Kupferrinnenwinkel" display="Kupferrinnenwinkel" xr:uid="{00000000-0004-0000-0000-000003000000}"/>
    <hyperlink ref="A1" location="'Kupfer Entwässerung'!A1" display="Kupfer Entwässerung" xr:uid="{00000000-0004-0000-0000-000004000000}"/>
    <hyperlink ref="B6" location="KupferEinhang" display="Kupfer Einhangstutzen" xr:uid="{00000000-0004-0000-0000-000005000000}"/>
    <hyperlink ref="B10" location="Kupferrinnenboden" display="Kupferrinnenboden universal" xr:uid="{00000000-0004-0000-0000-000006000000}"/>
    <hyperlink ref="B11" location="Kupferrinnendilla" display="Kupferrinnendilla" xr:uid="{00000000-0004-0000-0000-000007000000}"/>
    <hyperlink ref="B17" location="KupferWasserfang" display="Kupfer Wasserfangkasten" xr:uid="{00000000-0004-0000-0000-000008000000}"/>
    <hyperlink ref="B2" location="KupferRohrbogen" display="KupferRohrbogen" xr:uid="{00000000-0004-0000-0000-000009000000}"/>
    <hyperlink ref="B7" location="KupferFallrohrabzweig" display="Kupfer Fallrohrabzweig 72°" xr:uid="{00000000-0004-0000-0000-00000A000000}"/>
    <hyperlink ref="B4" location="KupferAblaufrohrschelle" display="Kupfer Ablaufrohrschelle M8/10" xr:uid="{00000000-0004-0000-0000-00000B000000}"/>
    <hyperlink ref="B9" location="KupferRegenwasserklappe" display="Kupfer Regenwasserklappe m. Sieb" xr:uid="{00000000-0004-0000-0000-00000C000000}"/>
    <hyperlink ref="B14" location="Kupferrolafix" display="Kupfer Rolafix Mini Laubfangvorrichtung" xr:uid="{00000000-0004-0000-0000-00000D000000}"/>
    <hyperlink ref="B18" location="KupferWassersammler" display="Kupfer Wassersammler incl. Schlauchset" xr:uid="{00000000-0004-0000-0000-00000E000000}"/>
    <hyperlink ref="B15" location="KupferStand" display="Kupfer Standrohrkappe flach" xr:uid="{00000000-0004-0000-0000-00000F000000}"/>
    <hyperlink ref="B8" location="KupferReduzierung" display="Kupfer Reduzierung" xr:uid="{00000000-0004-0000-0000-000010000000}"/>
    <hyperlink ref="B16" location="KupferSteckmuffe" display="Kupfer Steckmuffe (Rohrverbinder)" xr:uid="{00000000-0004-0000-0000-000011000000}"/>
    <hyperlink ref="C1" location="'Kupfer Entwässerung'!A1" display="Kupfer Entwässerung" xr:uid="{00000000-0004-0000-0000-000012000000}"/>
    <hyperlink ref="D3" location="ZinkAblaufrohr" display="Ablaufrohre" xr:uid="{00000000-0004-0000-0000-000013000000}"/>
    <hyperlink ref="D4" location="ZinkRohrschelle" display="Ablaufrohrschelle M8/10" xr:uid="{00000000-0004-0000-0000-000014000000}"/>
    <hyperlink ref="D5" location="ZinkDachrinne" display="Dachrinne" xr:uid="{00000000-0004-0000-0000-000015000000}"/>
    <hyperlink ref="D6" location="ZinkEinhang" display="Einhangstutzen" xr:uid="{00000000-0004-0000-0000-000016000000}"/>
    <hyperlink ref="D7" location="ZinkRedu" display="Reduzierung" xr:uid="{00000000-0004-0000-0000-000017000000}"/>
    <hyperlink ref="D8" location="ZinkRegenwassersammler" display="Regenwasserklappe m. Sieb" xr:uid="{00000000-0004-0000-0000-000018000000}"/>
    <hyperlink ref="D9" location="ZinkRinnenboden" display="ZinkRinnenboden" xr:uid="{00000000-0004-0000-0000-000019000000}"/>
    <hyperlink ref="D10" location="ZinkRinnendilla" display="Rinnendilla" xr:uid="{00000000-0004-0000-0000-00001A000000}"/>
    <hyperlink ref="D12" location="ZinkRinnenwinkel" display="Rinnenwinkel 90°" xr:uid="{00000000-0004-0000-0000-00001B000000}"/>
    <hyperlink ref="D2" location="ZinkRohrbogen" display="Ablaufrohrbogen" xr:uid="{00000000-0004-0000-0000-00001C000000}"/>
    <hyperlink ref="D13" location="ZinkRolafix" display="Rolafix-Mini Lauffangvorrichtung" xr:uid="{00000000-0004-0000-0000-00001D000000}"/>
    <hyperlink ref="D14" location="ZinkStand" display="Standrohrkappe flach" xr:uid="{00000000-0004-0000-0000-00001E000000}"/>
    <hyperlink ref="D15" location="ZinkSteck" display="Steckmuffe (Rohrverbinder)" xr:uid="{00000000-0004-0000-0000-00001F000000}"/>
    <hyperlink ref="D16" location="ZinkWasserfang" display="Wasserfangkasten" xr:uid="{00000000-0004-0000-0000-000020000000}"/>
    <hyperlink ref="B21" location="UgiAblaufrohre" display="Ablaufrohre" xr:uid="{00000000-0004-0000-0000-000021000000}"/>
    <hyperlink ref="A19" location="'Kupfer Entwässerung'!A1" display="Kupfer Entwässerung" xr:uid="{00000000-0004-0000-0000-000022000000}"/>
    <hyperlink ref="B22" location="UgiRohrschelle" display="Ablaufrohrschelle M8/10" xr:uid="{00000000-0004-0000-0000-000023000000}"/>
    <hyperlink ref="B23" location="UgiDachrinne" display="Dachrinne" xr:uid="{00000000-0004-0000-0000-000024000000}"/>
    <hyperlink ref="B24" location="UgiEinhang" display="Einhangstutzen" xr:uid="{00000000-0004-0000-0000-000025000000}"/>
    <hyperlink ref="B25" location="UgiFallrohr" display="Fallrohrabzweig 72°" xr:uid="{00000000-0004-0000-0000-000026000000}"/>
    <hyperlink ref="B27" location="UgiRegenwasser" display="Regenwasserklappe m. Sieb" xr:uid="{00000000-0004-0000-0000-000027000000}"/>
    <hyperlink ref="B28" location="UgiRinnenboden" display="Rinnenboden (Vorkopf)" xr:uid="{00000000-0004-0000-0000-000028000000}"/>
    <hyperlink ref="B29" location="UgiRinnenhaken" display="Rinnenhaken" xr:uid="{00000000-0004-0000-0000-000029000000}"/>
    <hyperlink ref="B30" location="UgiRinnenwinkel" display="Rinnenwinkel 90°" xr:uid="{00000000-0004-0000-0000-00002A000000}"/>
    <hyperlink ref="B20" location="UgiRohrbogen" display="Rohrbogen" xr:uid="{00000000-0004-0000-0000-00002B000000}"/>
    <hyperlink ref="B31" location="UgiRolafix" display="Rolafix-Mini Lauffangvorrichtung" xr:uid="{00000000-0004-0000-0000-00002C000000}"/>
    <hyperlink ref="B32" location="UgiStand" display="Standrohrkappe flach" xr:uid="{00000000-0004-0000-0000-00002D000000}"/>
    <hyperlink ref="B33" location="UgiWasser" display="UgiWasser" xr:uid="{00000000-0004-0000-0000-00002E000000}"/>
    <hyperlink ref="B34" location="UgiWassersammler" display="Wassersammler incl. Schlauchset" xr:uid="{00000000-0004-0000-0000-00002F000000}"/>
    <hyperlink ref="C17" location="'Kupfer Entwässerung'!A1" display="Kupfer Entwässerung" xr:uid="{00000000-0004-0000-0000-000030000000}"/>
    <hyperlink ref="C1:D1" location="'Zink Entwässerung'!A1" display="Zink Entwässerung" xr:uid="{00000000-0004-0000-0000-000031000000}"/>
    <hyperlink ref="A19:B19" location="'Uginox Entwässerung'!A1" display="Uginox Entwässerung" xr:uid="{00000000-0004-0000-0000-000032000000}"/>
    <hyperlink ref="C17:D17" location="'ALUSTAR Entwässerung'!A1" display="Verzinkt Entwässerung" xr:uid="{00000000-0004-0000-0000-000033000000}"/>
    <hyperlink ref="D34" location="verzRinnenhaken" display="Ablaufrohre" xr:uid="{00000000-0004-0000-0000-000034000000}"/>
    <hyperlink ref="C32" location="'Kupfer Entwässerung'!A1" display="Kupfer Entwässerung" xr:uid="{00000000-0004-0000-0000-000035000000}"/>
    <hyperlink ref="C32:D32" location="'Verzinkt Entwässerung'!A1" display="Verzinkt Entwässerung" xr:uid="{00000000-0004-0000-0000-000036000000}"/>
    <hyperlink ref="D33" location="verzRohrschelle" display="Ablaufrohrschelle" xr:uid="{00000000-0004-0000-0000-000037000000}"/>
    <hyperlink ref="D19" location="AluAblaufrohr" display="Ablaufrohre" xr:uid="{00000000-0004-0000-0000-000038000000}"/>
    <hyperlink ref="D20" location="AluRohrschelle" display="Ablaufrohrschelle M8/10" xr:uid="{00000000-0004-0000-0000-000039000000}"/>
    <hyperlink ref="D21" location="AluDachrinne" display="Dachrinne" xr:uid="{00000000-0004-0000-0000-00003A000000}"/>
    <hyperlink ref="D22" location="AluEinhang" display="Einhangstutzen" xr:uid="{00000000-0004-0000-0000-00003B000000}"/>
    <hyperlink ref="D23" location="AluRegenwasser" display="Regenwasserklappe" xr:uid="{00000000-0004-0000-0000-00003C000000}"/>
    <hyperlink ref="D24" location="AluRinnenboden" display="Rinnenboden (Vorkopf)" xr:uid="{00000000-0004-0000-0000-00003D000000}"/>
    <hyperlink ref="D25" location="AluRinnendilla" display="Rinnendilla" xr:uid="{00000000-0004-0000-0000-00003E000000}"/>
    <hyperlink ref="D26" location="AluRinnenhaken" display="Rinnenhaken" xr:uid="{00000000-0004-0000-0000-00003F000000}"/>
    <hyperlink ref="D27" location="AluRinnenwinkel" display="Rinnenwinkel 90°" xr:uid="{00000000-0004-0000-0000-000040000000}"/>
    <hyperlink ref="D18" location="AluBogen" display="Rohrbogen" xr:uid="{00000000-0004-0000-0000-000041000000}"/>
    <hyperlink ref="D28" location="AluStand" display="AluStand" xr:uid="{00000000-0004-0000-0000-000042000000}"/>
    <hyperlink ref="D29" location="AluSteck" display="Steck" xr:uid="{00000000-0004-0000-0000-000043000000}"/>
    <hyperlink ref="D30" location="AluWasserfang" display="Wasserfangkasten" xr:uid="{00000000-0004-0000-0000-000044000000}"/>
    <hyperlink ref="D31" location="AluWassersammler" display="Wassersammler incl. Schlauchset" xr:uid="{00000000-0004-0000-0000-000045000000}"/>
    <hyperlink ref="E1" location="'Kupfer Entwässerung'!A1" display="Kupfer Entwässerung" xr:uid="{00000000-0004-0000-0000-000046000000}"/>
    <hyperlink ref="E1" location="'Bänder - Tafeln'!A1" display="Bänder - Tafeln" xr:uid="{00000000-0004-0000-0000-000047000000}"/>
    <hyperlink ref="F11" location="Kupfer" display="Kupfer" xr:uid="{00000000-0004-0000-0000-000048000000}"/>
    <hyperlink ref="F12" location="KupferLochblech" display="Lochblech 5/7" xr:uid="{00000000-0004-0000-0000-000049000000}"/>
    <hyperlink ref="F16" location="UginoxBand" display="Bänder - Tafeln" xr:uid="{00000000-0004-0000-0000-00004A000000}"/>
    <hyperlink ref="F17" location="UginoxLochblech" display="Lochblech 5/7" xr:uid="{00000000-0004-0000-0000-00004B000000}"/>
    <hyperlink ref="F19" location="UgiTopBand" display="UgiTopBand" xr:uid="{00000000-0004-0000-0000-00004C000000}"/>
    <hyperlink ref="F21" location="UgitopV4A" display="Bänder" xr:uid="{00000000-0004-0000-0000-00004D000000}"/>
    <hyperlink ref="F9" location="EdelstahlBandblank" display="EDELSTAHL Bänder (blank)" xr:uid="{00000000-0004-0000-0000-00004E000000}"/>
    <hyperlink ref="F5" location="AluBandblank" display="ALU Bänder - Tafeln " xr:uid="{00000000-0004-0000-0000-00004F000000}"/>
    <hyperlink ref="F6" location="AluBandLochblech" display="ALU blank Lochblech 5/7" xr:uid="{00000000-0004-0000-0000-000050000000}"/>
    <hyperlink ref="F7" location="AluBandRiffel" display="ALU blank Riffelblech DUO" xr:uid="{00000000-0004-0000-0000-000051000000}"/>
    <hyperlink ref="F2" location="AluBandBeschPalmer" display="ALU besch. Bänder - Tafeln" xr:uid="{00000000-0004-0000-0000-000052000000}"/>
    <hyperlink ref="F24" location="VerzBandBesch" display="VerzBandBesch" xr:uid="{00000000-0004-0000-0000-000053000000}"/>
    <hyperlink ref="F23" location="VerzBandblank" display="VZ Bänder - Tafeln" xr:uid="{00000000-0004-0000-0000-000054000000}"/>
    <hyperlink ref="G1:H1" location="'Zubehör Blechdach'!A1" display="Zubehör Blechdach" xr:uid="{00000000-0004-0000-0000-000055000000}"/>
    <hyperlink ref="H20" location="ZubehörStockschrauben" display="ZubehörStockschrauben" xr:uid="{00000000-0004-0000-0000-000056000000}"/>
    <hyperlink ref="H19" location="ZubehörSpenglerschrauben" display="Spenglerschrauben" xr:uid="{00000000-0004-0000-0000-000057000000}"/>
    <hyperlink ref="H17" location="SchneefangRohr322" display="Schneefangrohr 1&quot;- Zoll" xr:uid="{00000000-0004-0000-0000-000058000000}"/>
    <hyperlink ref="H18" location="ZubehörSchneefangEishalter" display="Schneefangrohr Eishalter" xr:uid="{00000000-0004-0000-0000-000059000000}"/>
    <hyperlink ref="H16" location="ZubehörSchneefang" display="ZubehörSchneefang" xr:uid="{00000000-0004-0000-0000-00005A000000}"/>
    <hyperlink ref="H15" location="ZubehörRundedelstahl" display="ZubehörRundedelstahl" xr:uid="{00000000-0004-0000-0000-00005B000000}"/>
    <hyperlink ref="H14" location="ZubehörRinnenhakennägel" display="Rinnenhakennägel" xr:uid="{00000000-0004-0000-0000-00005C000000}"/>
    <hyperlink ref="H13" location="ZubehörPaslode" display="Paslode Nägel" xr:uid="{00000000-0004-0000-0000-00005D000000}"/>
    <hyperlink ref="H12" location="ZubehörMontageplatte" display="Montageplatte für Rohrschelle M8/10" xr:uid="{00000000-0004-0000-0000-00005E000000}"/>
    <hyperlink ref="H2" location="ZubehörMetallkleber" display="Blechkleber" xr:uid="{00000000-0004-0000-0000-00005F000000}"/>
    <hyperlink ref="H11" location="ZubehörLötzinn" display="Lötzinn" xr:uid="{00000000-0004-0000-0000-000060000000}"/>
    <hyperlink ref="H10" location="ZubehörLaubsieb" display="Laubsieb" xr:uid="{00000000-0004-0000-0000-000061000000}"/>
    <hyperlink ref="H9" location="ZubehörKiesleisten" display="Kiesleisten" xr:uid="{00000000-0004-0000-0000-000062000000}"/>
    <hyperlink ref="H8" location="ZubehörHaften" display="Haften" xr:uid="{00000000-0004-0000-0000-000063000000}"/>
    <hyperlink ref="H7" location="ZubehörFalzdichtband" display="Falzdichtband - Öl" xr:uid="{00000000-0004-0000-0000-000064000000}"/>
    <hyperlink ref="H6" location="ZubehörFallprovisorium" display="Fallrohrprovisorium" xr:uid="{00000000-0004-0000-0000-000065000000}"/>
    <hyperlink ref="H5" location="ZubehörDübel" display="Dübel" xr:uid="{00000000-0004-0000-0000-000066000000}"/>
    <hyperlink ref="H3" location="ZubehörDeckstifte" display="Deckstifte" xr:uid="{00000000-0004-0000-0000-000067000000}"/>
    <hyperlink ref="I1:J1" location="Spenglerwerkzeug!A1" display="Bedachungsartikel" xr:uid="{00000000-0004-0000-0000-000068000000}"/>
    <hyperlink ref="J24" location="STUBAIAhle" display="Vorschlagahle" xr:uid="{00000000-0004-0000-0000-000069000000}"/>
    <hyperlink ref="J2" location="STUBAIAnreißschablone" display="STUBAIAnreißschablone" xr:uid="{00000000-0004-0000-0000-00006A000000}"/>
    <hyperlink ref="J4" location="STUBAIBogenzirkel" display="Bogenzirkel" xr:uid="{00000000-0004-0000-0000-00006B000000}"/>
    <hyperlink ref="J5" location="STUBAIDachrinnenzange" display="Dachrinnenzange" xr:uid="{00000000-0004-0000-0000-00006C000000}"/>
    <hyperlink ref="J6" location="STUBAIDeckzange" display="Deckzange" xr:uid="{00000000-0004-0000-0000-00006D000000}"/>
    <hyperlink ref="J7" location="STUBAIFalzzange" display="Falzzange" xr:uid="{00000000-0004-0000-0000-00006E000000}"/>
    <hyperlink ref="J8" location="STUBAIFlachzange" display="Flachzange" xr:uid="{00000000-0004-0000-0000-00006F000000}"/>
    <hyperlink ref="J9" location="STUBAIHammer" display="Hämmer" xr:uid="{00000000-0004-0000-0000-000070000000}"/>
    <hyperlink ref="J10" location="STUBAILötwasserflasche" display="Lötwasserfläschchen - gelb u. blau" xr:uid="{00000000-0004-0000-0000-000071000000}"/>
    <hyperlink ref="J13" location="STUBAIQuetzfalzzange" display="Quetschfalzzange" xr:uid="{00000000-0004-0000-0000-000072000000}"/>
    <hyperlink ref="J14" location="STUBAIReißnadel" display="Reißnadel" xr:uid="{00000000-0004-0000-0000-000073000000}"/>
    <hyperlink ref="J15" location="STUBAIRestrollenklammer" display="Restrollenklammer" xr:uid="{00000000-0004-0000-0000-000074000000}"/>
    <hyperlink ref="J17" location="STUBAIRinnenschnurr" display="Rinnenschnurr" xr:uid="{00000000-0004-0000-0000-000075000000}"/>
    <hyperlink ref="J19" location="STUBAIRundzange" display="Rundzange" xr:uid="{00000000-0004-0000-0000-000076000000}"/>
    <hyperlink ref="J21" location="STUBAISchaleisen" display="Schaleisen" xr:uid="{00000000-0004-0000-0000-000077000000}"/>
    <hyperlink ref="J22" location="STUBAISchere" display="Scheren" xr:uid="{00000000-0004-0000-0000-000078000000}"/>
    <hyperlink ref="J23" location="STUBAITraufenschließer" display="Traufenschließer" xr:uid="{00000000-0004-0000-0000-000079000000}"/>
    <hyperlink ref="J25" location="STUBAIWinkeldoppelfalzer" display="Winkeldoppelfalzer" xr:uid="{00000000-0004-0000-0000-00007A000000}"/>
    <hyperlink ref="G22:H22" location="Bedachungsartikel!A1" display="Bedachungsartikel!A1" xr:uid="{00000000-0004-0000-0000-00007B000000}"/>
    <hyperlink ref="H25" location="BedachungLaufstehhalter" display="Laufstehhalter Click 17" xr:uid="{00000000-0004-0000-0000-00007C000000}"/>
    <hyperlink ref="H26" location="BedachungMetalldachfenster" display="Metalldachfenster" xr:uid="{00000000-0004-0000-0000-00007D000000}"/>
    <hyperlink ref="H27" location="BedachungMetalldachplatte" display="Metalldachplatte Click 17" xr:uid="{00000000-0004-0000-0000-00007E000000}"/>
    <hyperlink ref="H28" location="BedachungRohrhalter" display="Rohrhalter für 2x1&quot; Click 17" xr:uid="{00000000-0004-0000-0000-00007F000000}"/>
    <hyperlink ref="H24" location="BedachungRost" display="Laufrost" xr:uid="{00000000-0004-0000-0000-000080000000}"/>
    <hyperlink ref="H29" location="BedachungRundholzhalter" display="Rundholzhalter Click 17" xr:uid="{00000000-0004-0000-0000-000081000000}"/>
    <hyperlink ref="H31" location="BedachungSchneefanggitter" display="Schneefanggitter" xr:uid="{00000000-0004-0000-0000-000082000000}"/>
    <hyperlink ref="H32" location="BedachungSchneefanghalter" display="Schneefanghalter Click 17" xr:uid="{00000000-0004-0000-0000-000083000000}"/>
    <hyperlink ref="H33" location="BedachungSchneefangUniversal" display="Schneefanghalter Easy (Universal)" xr:uid="{00000000-0004-0000-0000-000084000000}"/>
    <hyperlink ref="H34" location="BedachungSicherheitsdachhaken" display="Sicherheitsdachhaken" xr:uid="{00000000-0004-0000-0000-000085000000}"/>
    <hyperlink ref="I27:J27" location="Gewichtsübersicht!A1" display="Gewichtsübersicht" xr:uid="{00000000-0004-0000-0000-000086000000}"/>
    <hyperlink ref="J36" location="GewichtAluRiffel" display="Alu Riffelblech" xr:uid="{00000000-0004-0000-0000-000087000000}"/>
    <hyperlink ref="J29" location="GewichtBandAlu" display="ALU Band" xr:uid="{00000000-0004-0000-0000-000088000000}"/>
    <hyperlink ref="J30" location="GewichtBandEdelstahl" display="Edelstahl" xr:uid="{00000000-0004-0000-0000-000089000000}"/>
    <hyperlink ref="J31" location="GewichtBandKupfer" display="KUPFER Band" xr:uid="{00000000-0004-0000-0000-00008A000000}"/>
    <hyperlink ref="J32" location="GewichtBandUginox" display="UGINOX Band" xr:uid="{00000000-0004-0000-0000-00008B000000}"/>
    <hyperlink ref="J33" location="GewichtBandVerzinkt" display="VZ Band" xr:uid="{00000000-0004-0000-0000-00008C000000}"/>
    <hyperlink ref="J34" location="GewichtBandZink" display="ZINK Band" xr:uid="{00000000-0004-0000-0000-00008D000000}"/>
    <hyperlink ref="J37" location="GewichtTafeln" display="Tafeln" xr:uid="{00000000-0004-0000-0000-00008E000000}"/>
    <hyperlink ref="K1:L1" location="'Diverse Notizen'!A1" display="Fehlendes Sortiment - Notizen" xr:uid="{00000000-0004-0000-0000-00008F000000}"/>
    <hyperlink ref="K4:L4" r:id="rId1" display="https://www.suedmetall.de/service/metallnotierungen.html" xr:uid="{00000000-0004-0000-0000-000090000000}"/>
    <hyperlink ref="K7:L7" r:id="rId2" display="https://www.suedmetall.de/service/metallnotierungen.html" xr:uid="{00000000-0004-0000-0000-000091000000}"/>
    <hyperlink ref="K7:L8" r:id="rId3" display="https://www.wurzer-profile.de/metallinformation-kupfer-zink-dachrinnen-ablaufrohre-2-2-2-3/" xr:uid="{00000000-0004-0000-0000-000092000000}"/>
    <hyperlink ref="H4" location="Dichtblindnieten" display="Dichtblindnieten" xr:uid="{00000000-0004-0000-0000-000093000000}"/>
    <hyperlink ref="H21" location="Wirrgelege" display="Wirrgelege" xr:uid="{00000000-0004-0000-0000-000094000000}"/>
    <hyperlink ref="D11" location="ZinkRinnenhaken" display="ZinkRinnenhaken" xr:uid="{00000000-0004-0000-0000-000095000000}"/>
    <hyperlink ref="F3" location="AluLochbesch" display="ALU besch. Lochblech 5/7" xr:uid="{00000000-0004-0000-0000-000096000000}"/>
    <hyperlink ref="F14" location="ZinkBand" display="ZinkBand" xr:uid="{00000000-0004-0000-0000-000097000000}"/>
    <hyperlink ref="H30" location="Rundholz" display="Rundholz" xr:uid="{00000000-0004-0000-0000-000098000000}"/>
    <hyperlink ref="K10:L10" r:id="rId4" display="https://www.suedmetall.de/service/metallnotierungen.html" xr:uid="{00000000-0004-0000-0000-000099000000}"/>
    <hyperlink ref="K10:L11" r:id="rId5" display="https://www.palmer-bleche.com/de/unternehmen/service.html" xr:uid="{00000000-0004-0000-0000-00009A000000}"/>
    <hyperlink ref="B26" location="UginoxRedu" display="Reduzierung" xr:uid="{00000000-0004-0000-0000-00009B000000}"/>
    <hyperlink ref="J18" location="STUBAIRundlochschere" display="STUBAIRundlochschere" xr:uid="{00000000-0004-0000-0000-00009C000000}"/>
    <hyperlink ref="H23" location="BedachungAufdachmodulhalter" display="#BedachungAufdachmodulhalter" xr:uid="{00000000-0004-0000-0000-00009D000000}"/>
    <hyperlink ref="J20" location="MASCStockschraubeneindreher" display="MASCStockschraubeneindreher" xr:uid="{1F986BBB-8FF1-4C13-9C76-373325A454AD}"/>
    <hyperlink ref="J12" location="MASCÖsenschraubendreher" display="MASCÖsenschraubendreher" xr:uid="{AF262945-3102-48D7-AF45-46D41A913BDA}"/>
    <hyperlink ref="J16" location="MASCRinnenzwinge" display="MASCRinnenzwinge" xr:uid="{D2783CED-CC02-4BA5-95E3-3094861DF6D0}"/>
    <hyperlink ref="J11" location="MASCMontageeisen" display="MASCMontageeisen" xr:uid="{E86BFFB0-9685-4BD1-8FE8-72827BAE4C3C}"/>
    <hyperlink ref="J3" location="MASCBlechknabber" display="MASCBlechknabber" xr:uid="{C683685A-3825-4F9D-9E70-F90BC10569C7}"/>
    <hyperlink ref="J26" location="MASCWulstausbeuler" display="MASCWulstausbeuler" xr:uid="{600E154D-1F5B-44E8-8349-32E0B3FC6577}"/>
    <hyperlink ref="E27:F27" location="LORO" display="LORO-Polybit" xr:uid="{0EFCD7BF-A9E5-4332-84F0-4F00AB81BA93}"/>
    <hyperlink ref="F33" location="LORORegenstandrohrMIT" display="LORO-X Rohre" xr:uid="{E8846392-5E60-4CA3-8E63-DA1C48BFF9D7}"/>
    <hyperlink ref="F29" location="LORObogen" display="LORO-X Bogen" xr:uid="{C0F88007-B6A0-45EB-9B6D-A62A0DE1FDAB}"/>
    <hyperlink ref="F28" location="LOROAnschluss" display="LORO-X Anschlussstück" xr:uid="{C241EB7C-B4EA-4EDB-9ECD-E358475C34A9}"/>
    <hyperlink ref="F30" location="LOROVERBINDER" display="LORO-X CV-Verbinder" xr:uid="{86068689-51FB-4E9D-8360-1AC523B86412}"/>
    <hyperlink ref="F31" location="LORODicht" display="LORO-X Dichtelement" xr:uid="{4143715F-5FC1-4FEF-A0C6-E7C8DA597801}"/>
    <hyperlink ref="F32" location="LOROGleit" display="LORO-X Gleitmittel" xr:uid="{C2B44FC5-3F79-424E-829A-E936CD5D1E93}"/>
    <hyperlink ref="F34" location="LORORosch" display="LORO-X Rohrschelle" xr:uid="{1A93C20C-7296-472B-9EAA-FF4D6E35147B}"/>
    <hyperlink ref="F35" location="LOROSIEB" display="LORO-X Sieb" xr:uid="{25D458CA-E6E2-46E5-97B5-D9D02F6092D3}"/>
    <hyperlink ref="F36" location="LOROWASSER" display="LORO-X Wasserspeier" xr:uid="{0CA9C2FE-8201-4CA3-8DF6-2A51D2FC24B3}"/>
  </hyperlinks>
  <pageMargins left="0.70866141732283472" right="0.70866141732283472" top="1.3385826771653544" bottom="0.78740157480314965" header="0.31496062992125984" footer="0.31496062992125984"/>
  <pageSetup paperSize="9" orientation="portrait" r:id="rId6"/>
  <headerFooter>
    <oddHeader>&amp;L&amp;G&amp;R&amp;"Century Gothic,Fett"&amp;16&amp;A</oddHeader>
  </headerFooter>
  <colBreaks count="2" manualBreakCount="2">
    <brk id="4" max="1048575" man="1"/>
    <brk id="8" max="1048575" man="1"/>
  </colBreaks>
  <drawing r:id="rId7"/>
  <legacyDrawingHF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AAFC8-AE78-4BC6-8729-654D573CFF12}">
  <dimension ref="B1:X494"/>
  <sheetViews>
    <sheetView showGridLines="0" view="pageBreakPreview" zoomScaleNormal="100" zoomScaleSheetLayoutView="100" workbookViewId="0">
      <selection activeCell="H8" sqref="H8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0.75" style="18" customWidth="1"/>
    <col min="4" max="5" width="6.25" style="19" customWidth="1"/>
    <col min="6" max="6" width="10.75" style="19" customWidth="1"/>
    <col min="7" max="9" width="4.75" style="19" customWidth="1"/>
    <col min="10" max="10" width="4.25" style="19" customWidth="1"/>
    <col min="11" max="11" width="0.75" style="19" customWidth="1"/>
    <col min="12" max="12" width="0.25" style="19" hidden="1" customWidth="1"/>
    <col min="13" max="13" width="4.75" style="19" customWidth="1"/>
    <col min="14" max="14" width="4.75" style="124" customWidth="1"/>
    <col min="15" max="15" width="4.75" style="125" hidden="1" customWidth="1" outlineLevel="1"/>
    <col min="16" max="16" width="5.75" style="18" hidden="1" customWidth="1" outlineLevel="1"/>
    <col min="17" max="18" width="6.25" style="126" hidden="1" customWidth="1" outlineLevel="1"/>
    <col min="19" max="19" width="13.125" style="19" hidden="1" customWidth="1" outlineLevel="1"/>
    <col min="20" max="20" width="0" style="19" hidden="1" customWidth="1" outlineLevel="1"/>
    <col min="21" max="21" width="2.25" style="19" hidden="1" customWidth="1" outlineLevel="1"/>
    <col min="22" max="23" width="0" style="19" hidden="1" customWidth="1" outlineLevel="1"/>
    <col min="24" max="24" width="11.25" style="19" collapsed="1"/>
    <col min="25" max="16384" width="11.25" style="19"/>
  </cols>
  <sheetData>
    <row r="1" spans="2:21" ht="6.45" customHeight="1" x14ac:dyDescent="0.35"/>
    <row r="2" spans="2:21" ht="6.45" customHeight="1" x14ac:dyDescent="0.35"/>
    <row r="3" spans="2:21" ht="18.45" thickBot="1" x14ac:dyDescent="0.4">
      <c r="B3" s="17" t="s">
        <v>827</v>
      </c>
      <c r="P3" s="325"/>
      <c r="Q3" s="127"/>
      <c r="R3" s="127"/>
      <c r="S3" s="266"/>
      <c r="T3" s="302"/>
      <c r="U3" s="19">
        <f>(1-T5)*(1+T6)</f>
        <v>0</v>
      </c>
    </row>
    <row r="4" spans="2:21" ht="5.6" customHeight="1" thickBot="1" x14ac:dyDescent="0.4">
      <c r="S4" s="266" t="s">
        <v>40</v>
      </c>
      <c r="T4" s="267">
        <v>0</v>
      </c>
    </row>
    <row r="5" spans="2:21" ht="14.15" customHeight="1" thickBot="1" x14ac:dyDescent="0.4">
      <c r="B5" s="178" t="s">
        <v>27</v>
      </c>
      <c r="C5" s="179"/>
      <c r="D5" s="375" t="s">
        <v>828</v>
      </c>
      <c r="E5" s="181" t="s">
        <v>110</v>
      </c>
      <c r="F5" s="182" t="s">
        <v>335</v>
      </c>
      <c r="G5" s="182"/>
      <c r="H5" s="182"/>
      <c r="I5" s="182" t="s">
        <v>832</v>
      </c>
      <c r="J5" s="182"/>
      <c r="K5" s="182"/>
      <c r="L5" s="182"/>
      <c r="M5" s="183"/>
      <c r="N5" s="149" t="s">
        <v>77</v>
      </c>
      <c r="O5" s="139" t="s">
        <v>90</v>
      </c>
      <c r="P5" s="43" t="s">
        <v>30</v>
      </c>
      <c r="Q5" s="139" t="s">
        <v>161</v>
      </c>
      <c r="R5" s="133" t="s">
        <v>40</v>
      </c>
      <c r="S5" s="268" t="s">
        <v>30</v>
      </c>
      <c r="T5" s="269">
        <f>Inhaltsverzeichnis!K24</f>
        <v>1</v>
      </c>
    </row>
    <row r="6" spans="2:21" s="26" customFormat="1" ht="12.45" customHeight="1" thickBot="1" x14ac:dyDescent="0.4">
      <c r="B6" s="83">
        <v>3050160003</v>
      </c>
      <c r="D6" s="42">
        <v>100</v>
      </c>
      <c r="E6" s="42" t="s">
        <v>185</v>
      </c>
      <c r="F6" s="26" t="s">
        <v>830</v>
      </c>
      <c r="I6" s="26" t="s">
        <v>833</v>
      </c>
      <c r="L6" s="93"/>
      <c r="M6" s="93"/>
      <c r="N6" s="134">
        <f>($U$3*Q6)*(100%+R6)</f>
        <v>0</v>
      </c>
      <c r="O6" s="105">
        <f>Q6*(100%-P6)</f>
        <v>49.6</v>
      </c>
      <c r="P6" s="324">
        <v>0.38</v>
      </c>
      <c r="Q6" s="318">
        <v>80</v>
      </c>
      <c r="R6" s="136">
        <v>0</v>
      </c>
      <c r="S6" s="266" t="s">
        <v>31</v>
      </c>
      <c r="T6" s="270">
        <v>0</v>
      </c>
    </row>
    <row r="7" spans="2:21" s="26" customFormat="1" ht="12.45" customHeight="1" x14ac:dyDescent="0.35">
      <c r="B7" s="83">
        <v>3050160004</v>
      </c>
      <c r="D7" s="42">
        <v>100</v>
      </c>
      <c r="E7" s="42" t="s">
        <v>829</v>
      </c>
      <c r="F7" s="26" t="s">
        <v>830</v>
      </c>
      <c r="I7" s="26" t="s">
        <v>834</v>
      </c>
      <c r="L7" s="93"/>
      <c r="M7" s="93"/>
      <c r="N7" s="134">
        <f>($U$3*Q7)*(100%+R7)</f>
        <v>0</v>
      </c>
      <c r="O7" s="105">
        <f t="shared" ref="O7" si="0">Q7*(100%-P7)</f>
        <v>86.861999999999995</v>
      </c>
      <c r="P7" s="374">
        <f>P6</f>
        <v>0.38</v>
      </c>
      <c r="Q7" s="318">
        <v>140.1</v>
      </c>
      <c r="R7" s="126">
        <v>0</v>
      </c>
      <c r="S7" s="22"/>
      <c r="T7" s="138"/>
    </row>
    <row r="9" spans="2:21" ht="18.55" customHeight="1" x14ac:dyDescent="0.35">
      <c r="B9" s="17" t="s">
        <v>827</v>
      </c>
      <c r="P9" s="325"/>
      <c r="Q9" s="127"/>
      <c r="R9" s="127"/>
    </row>
    <row r="10" spans="2:21" ht="6.45" customHeight="1" x14ac:dyDescent="0.35"/>
    <row r="11" spans="2:21" ht="14.5" customHeight="1" x14ac:dyDescent="0.35">
      <c r="B11" s="178" t="s">
        <v>27</v>
      </c>
      <c r="C11" s="179"/>
      <c r="D11" s="375" t="s">
        <v>828</v>
      </c>
      <c r="E11" s="181" t="s">
        <v>110</v>
      </c>
      <c r="F11" s="182" t="s">
        <v>335</v>
      </c>
      <c r="G11" s="182"/>
      <c r="H11" s="182"/>
      <c r="I11" s="182" t="s">
        <v>832</v>
      </c>
      <c r="J11" s="182"/>
      <c r="K11" s="182"/>
      <c r="L11" s="182"/>
      <c r="M11" s="183"/>
      <c r="N11" s="149" t="s">
        <v>77</v>
      </c>
      <c r="O11" s="139" t="s">
        <v>90</v>
      </c>
      <c r="P11" s="43" t="s">
        <v>30</v>
      </c>
      <c r="Q11" s="139" t="s">
        <v>161</v>
      </c>
      <c r="R11" s="133" t="s">
        <v>40</v>
      </c>
    </row>
    <row r="12" spans="2:21" ht="12.55" customHeight="1" x14ac:dyDescent="0.35">
      <c r="B12" s="83">
        <v>3050160005</v>
      </c>
      <c r="C12" s="26"/>
      <c r="D12" s="42">
        <v>100</v>
      </c>
      <c r="E12" s="42" t="s">
        <v>185</v>
      </c>
      <c r="F12" s="26" t="s">
        <v>831</v>
      </c>
      <c r="G12" s="26"/>
      <c r="H12" s="26"/>
      <c r="I12" s="26" t="s">
        <v>835</v>
      </c>
      <c r="J12" s="26"/>
      <c r="K12" s="26"/>
      <c r="L12" s="93"/>
      <c r="M12" s="93"/>
      <c r="N12" s="134">
        <f>($U$3*Q12)*(100%+R12)</f>
        <v>0</v>
      </c>
      <c r="O12" s="105">
        <f>Q12*(100%-P12)</f>
        <v>39.494</v>
      </c>
      <c r="P12" s="107">
        <f>P6</f>
        <v>0.38</v>
      </c>
      <c r="Q12" s="318">
        <v>63.7</v>
      </c>
      <c r="R12" s="136">
        <v>0</v>
      </c>
    </row>
    <row r="13" spans="2:21" ht="6.55" customHeight="1" x14ac:dyDescent="0.35">
      <c r="B13" s="83"/>
      <c r="C13" s="26"/>
      <c r="D13" s="42"/>
      <c r="E13" s="42"/>
      <c r="F13" s="26"/>
      <c r="G13" s="26"/>
      <c r="H13" s="26"/>
      <c r="I13" s="26"/>
      <c r="J13" s="26"/>
      <c r="K13" s="26"/>
      <c r="L13" s="93"/>
      <c r="M13" s="93"/>
      <c r="N13" s="131"/>
      <c r="O13" s="105"/>
      <c r="P13" s="324"/>
      <c r="Q13" s="318"/>
      <c r="R13" s="136"/>
    </row>
    <row r="14" spans="2:21" ht="6.55" customHeight="1" x14ac:dyDescent="0.35">
      <c r="B14" s="103"/>
      <c r="C14" s="52"/>
      <c r="D14" s="42"/>
      <c r="E14" s="42"/>
      <c r="F14" s="26"/>
      <c r="G14" s="52"/>
      <c r="H14" s="52"/>
      <c r="I14" s="52"/>
      <c r="J14" s="52"/>
      <c r="K14" s="52"/>
      <c r="L14" s="106"/>
      <c r="M14" s="106"/>
      <c r="N14" s="131"/>
      <c r="O14" s="105"/>
      <c r="P14" s="374"/>
      <c r="Q14" s="318"/>
    </row>
    <row r="15" spans="2:21" ht="18.55" customHeight="1" x14ac:dyDescent="0.35">
      <c r="B15" s="17" t="s">
        <v>837</v>
      </c>
      <c r="P15" s="325"/>
      <c r="Q15" s="127"/>
      <c r="R15" s="127"/>
    </row>
    <row r="16" spans="2:21" ht="6.45" customHeight="1" x14ac:dyDescent="0.35"/>
    <row r="17" spans="2:18" ht="14.5" customHeight="1" x14ac:dyDescent="0.35">
      <c r="B17" s="178" t="s">
        <v>27</v>
      </c>
      <c r="C17" s="179"/>
      <c r="D17" s="375" t="s">
        <v>828</v>
      </c>
      <c r="E17" s="181" t="s">
        <v>110</v>
      </c>
      <c r="F17" s="182" t="s">
        <v>335</v>
      </c>
      <c r="G17" s="182"/>
      <c r="H17" s="182"/>
      <c r="I17" s="182" t="s">
        <v>832</v>
      </c>
      <c r="J17" s="182"/>
      <c r="K17" s="182"/>
      <c r="L17" s="182"/>
      <c r="M17" s="183"/>
      <c r="N17" s="149" t="s">
        <v>77</v>
      </c>
      <c r="O17" s="139" t="s">
        <v>90</v>
      </c>
      <c r="P17" s="43" t="s">
        <v>30</v>
      </c>
      <c r="Q17" s="139" t="s">
        <v>161</v>
      </c>
      <c r="R17" s="133" t="s">
        <v>40</v>
      </c>
    </row>
    <row r="18" spans="2:18" ht="12.55" customHeight="1" x14ac:dyDescent="0.35">
      <c r="B18" s="83">
        <v>3050160006</v>
      </c>
      <c r="C18" s="26"/>
      <c r="D18" s="42">
        <v>100</v>
      </c>
      <c r="E18" s="42" t="s">
        <v>149</v>
      </c>
      <c r="F18" s="26" t="s">
        <v>836</v>
      </c>
      <c r="G18" s="26"/>
      <c r="H18" s="26"/>
      <c r="I18" s="26" t="s">
        <v>838</v>
      </c>
      <c r="J18" s="26"/>
      <c r="K18" s="26"/>
      <c r="L18" s="93"/>
      <c r="M18" s="93"/>
      <c r="N18" s="134">
        <f>($U$3*Q18)*(100%+R18)</f>
        <v>0</v>
      </c>
      <c r="O18" s="105">
        <f>Q18*(100%-P18)</f>
        <v>131.19200000000001</v>
      </c>
      <c r="P18" s="107">
        <f>P6</f>
        <v>0.38</v>
      </c>
      <c r="Q18" s="318">
        <v>211.6</v>
      </c>
      <c r="R18" s="136">
        <v>0</v>
      </c>
    </row>
    <row r="19" spans="2:18" ht="12.55" customHeight="1" x14ac:dyDescent="0.35">
      <c r="B19" s="83">
        <v>3050160007</v>
      </c>
      <c r="C19" s="26"/>
      <c r="D19" s="42">
        <v>100</v>
      </c>
      <c r="E19" s="42" t="s">
        <v>829</v>
      </c>
      <c r="F19" s="26" t="s">
        <v>836</v>
      </c>
      <c r="G19" s="26"/>
      <c r="H19" s="26"/>
      <c r="I19" s="26" t="s">
        <v>839</v>
      </c>
      <c r="J19" s="26"/>
      <c r="K19" s="26"/>
      <c r="L19" s="93"/>
      <c r="M19" s="93"/>
      <c r="N19" s="134">
        <f>($U$3*Q19)*(100%+R19)</f>
        <v>0</v>
      </c>
      <c r="O19" s="105">
        <f>Q19*(100%-P19)</f>
        <v>90.457999999999998</v>
      </c>
      <c r="P19" s="107">
        <f>P7</f>
        <v>0.38</v>
      </c>
      <c r="Q19" s="318">
        <v>145.9</v>
      </c>
      <c r="R19" s="136">
        <v>0</v>
      </c>
    </row>
    <row r="20" spans="2:18" ht="18" customHeight="1" x14ac:dyDescent="0.35"/>
    <row r="21" spans="2:18" ht="18.55" customHeight="1" x14ac:dyDescent="0.35">
      <c r="B21" s="17" t="s">
        <v>840</v>
      </c>
      <c r="P21" s="325"/>
      <c r="Q21" s="127"/>
      <c r="R21" s="127"/>
    </row>
    <row r="22" spans="2:18" ht="6.45" customHeight="1" x14ac:dyDescent="0.35"/>
    <row r="23" spans="2:18" ht="14.5" customHeight="1" x14ac:dyDescent="0.35">
      <c r="B23" s="178" t="s">
        <v>27</v>
      </c>
      <c r="C23" s="179"/>
      <c r="D23" s="375" t="s">
        <v>828</v>
      </c>
      <c r="E23" s="181" t="s">
        <v>841</v>
      </c>
      <c r="F23" s="182"/>
      <c r="G23" s="182"/>
      <c r="H23" s="182"/>
      <c r="I23" s="182" t="s">
        <v>832</v>
      </c>
      <c r="J23" s="182"/>
      <c r="K23" s="182"/>
      <c r="L23" s="182"/>
      <c r="M23" s="183"/>
      <c r="N23" s="149" t="s">
        <v>77</v>
      </c>
      <c r="O23" s="139" t="s">
        <v>90</v>
      </c>
      <c r="P23" s="43" t="s">
        <v>30</v>
      </c>
      <c r="Q23" s="139" t="s">
        <v>161</v>
      </c>
      <c r="R23" s="133" t="s">
        <v>40</v>
      </c>
    </row>
    <row r="24" spans="2:18" ht="12.55" customHeight="1" x14ac:dyDescent="0.35">
      <c r="B24" s="83">
        <v>3050160008</v>
      </c>
      <c r="C24" s="26"/>
      <c r="D24" s="42">
        <v>100</v>
      </c>
      <c r="E24" s="42" t="s">
        <v>842</v>
      </c>
      <c r="F24" s="26"/>
      <c r="G24" s="26"/>
      <c r="H24" s="26"/>
      <c r="I24" s="26" t="s">
        <v>843</v>
      </c>
      <c r="J24" s="26"/>
      <c r="K24" s="26"/>
      <c r="L24" s="93"/>
      <c r="M24" s="93"/>
      <c r="N24" s="134">
        <f>($U$3*Q24)*(100%+R24)</f>
        <v>0</v>
      </c>
      <c r="O24" s="105">
        <f>Q24*(100%-P24)</f>
        <v>35.774000000000001</v>
      </c>
      <c r="P24" s="107">
        <f>P6</f>
        <v>0.38</v>
      </c>
      <c r="Q24" s="318">
        <v>57.7</v>
      </c>
      <c r="R24" s="136">
        <v>0</v>
      </c>
    </row>
    <row r="25" spans="2:18" ht="12.55" customHeight="1" x14ac:dyDescent="0.35">
      <c r="B25" s="83">
        <v>3050160009</v>
      </c>
      <c r="C25" s="26"/>
      <c r="D25" s="42">
        <v>100</v>
      </c>
      <c r="E25" s="42" t="s">
        <v>355</v>
      </c>
      <c r="F25" s="26"/>
      <c r="G25" s="26"/>
      <c r="H25" s="26"/>
      <c r="I25" s="26" t="s">
        <v>844</v>
      </c>
      <c r="J25" s="26"/>
      <c r="K25" s="26"/>
      <c r="L25" s="93"/>
      <c r="M25" s="93"/>
      <c r="N25" s="134">
        <f>($U$3*Q25)*(100%+R25)</f>
        <v>0</v>
      </c>
      <c r="O25" s="105">
        <f>Q25*(100%-P25)</f>
        <v>28.891999999999999</v>
      </c>
      <c r="P25" s="107">
        <f>P6</f>
        <v>0.38</v>
      </c>
      <c r="Q25" s="318">
        <v>46.6</v>
      </c>
      <c r="R25" s="136">
        <v>0</v>
      </c>
    </row>
    <row r="26" spans="2:18" ht="18" customHeight="1" x14ac:dyDescent="0.35"/>
    <row r="27" spans="2:18" ht="18.55" customHeight="1" x14ac:dyDescent="0.35">
      <c r="B27" s="17" t="s">
        <v>845</v>
      </c>
      <c r="P27" s="325"/>
      <c r="Q27" s="127"/>
      <c r="R27" s="127"/>
    </row>
    <row r="28" spans="2:18" ht="6.45" customHeight="1" x14ac:dyDescent="0.35"/>
    <row r="29" spans="2:18" ht="14.5" customHeight="1" x14ac:dyDescent="0.35">
      <c r="B29" s="178" t="s">
        <v>27</v>
      </c>
      <c r="C29" s="179"/>
      <c r="D29" s="375" t="s">
        <v>828</v>
      </c>
      <c r="E29" s="181"/>
      <c r="F29" s="182" t="s">
        <v>335</v>
      </c>
      <c r="G29" s="182"/>
      <c r="H29" s="182"/>
      <c r="I29" s="182" t="s">
        <v>832</v>
      </c>
      <c r="J29" s="182"/>
      <c r="K29" s="182"/>
      <c r="L29" s="182"/>
      <c r="M29" s="183"/>
      <c r="N29" s="149" t="s">
        <v>77</v>
      </c>
      <c r="O29" s="139" t="s">
        <v>90</v>
      </c>
      <c r="P29" s="43" t="s">
        <v>30</v>
      </c>
      <c r="Q29" s="139" t="s">
        <v>161</v>
      </c>
      <c r="R29" s="133" t="s">
        <v>40</v>
      </c>
    </row>
    <row r="30" spans="2:18" ht="12.55" customHeight="1" x14ac:dyDescent="0.35">
      <c r="B30" s="83">
        <v>3050160010</v>
      </c>
      <c r="C30" s="26"/>
      <c r="D30" s="42">
        <v>100</v>
      </c>
      <c r="E30" s="42"/>
      <c r="F30" s="26" t="s">
        <v>847</v>
      </c>
      <c r="G30" s="26"/>
      <c r="H30" s="26"/>
      <c r="I30" s="26" t="s">
        <v>846</v>
      </c>
      <c r="J30" s="26"/>
      <c r="K30" s="26"/>
      <c r="L30" s="93"/>
      <c r="M30" s="93"/>
      <c r="N30" s="134">
        <f>($U$3*Q30)*(100%+R30)</f>
        <v>0</v>
      </c>
      <c r="O30" s="105">
        <f>Q30*(100%-P30)</f>
        <v>19.716000000000001</v>
      </c>
      <c r="P30" s="107">
        <f>P6</f>
        <v>0.38</v>
      </c>
      <c r="Q30" s="318">
        <v>31.8</v>
      </c>
      <c r="R30" s="136">
        <v>0</v>
      </c>
    </row>
    <row r="31" spans="2:18" ht="8.0500000000000007" customHeight="1" x14ac:dyDescent="0.35">
      <c r="B31" s="83"/>
      <c r="C31" s="26"/>
      <c r="D31" s="42"/>
      <c r="E31" s="42"/>
      <c r="F31" s="26"/>
      <c r="G31" s="26"/>
      <c r="H31" s="26"/>
      <c r="I31" s="26"/>
      <c r="J31" s="26"/>
      <c r="K31" s="26"/>
      <c r="L31" s="93"/>
      <c r="M31" s="93"/>
      <c r="N31" s="131"/>
      <c r="O31" s="105"/>
      <c r="P31" s="107"/>
      <c r="Q31" s="318"/>
      <c r="R31" s="136"/>
    </row>
    <row r="32" spans="2:18" ht="8.0500000000000007" customHeight="1" x14ac:dyDescent="0.35"/>
    <row r="33" spans="2:18" ht="18.55" customHeight="1" x14ac:dyDescent="0.35">
      <c r="B33" s="17" t="s">
        <v>848</v>
      </c>
      <c r="P33" s="325"/>
      <c r="Q33" s="127"/>
      <c r="R33" s="127"/>
    </row>
    <row r="34" spans="2:18" ht="6.45" customHeight="1" x14ac:dyDescent="0.35"/>
    <row r="35" spans="2:18" ht="14.5" customHeight="1" x14ac:dyDescent="0.35">
      <c r="B35" s="178" t="s">
        <v>27</v>
      </c>
      <c r="C35" s="179"/>
      <c r="D35" s="375" t="s">
        <v>828</v>
      </c>
      <c r="E35" s="181"/>
      <c r="F35" s="182" t="s">
        <v>335</v>
      </c>
      <c r="G35" s="182"/>
      <c r="H35" s="182"/>
      <c r="I35" s="182" t="s">
        <v>832</v>
      </c>
      <c r="J35" s="182"/>
      <c r="K35" s="182"/>
      <c r="L35" s="182"/>
      <c r="M35" s="183"/>
      <c r="N35" s="149" t="s">
        <v>77</v>
      </c>
      <c r="O35" s="139" t="s">
        <v>90</v>
      </c>
      <c r="P35" s="43" t="s">
        <v>30</v>
      </c>
      <c r="Q35" s="139" t="s">
        <v>161</v>
      </c>
      <c r="R35" s="133" t="s">
        <v>40</v>
      </c>
    </row>
    <row r="36" spans="2:18" ht="12.55" customHeight="1" x14ac:dyDescent="0.35">
      <c r="B36" s="83">
        <v>3050160011</v>
      </c>
      <c r="C36" s="26"/>
      <c r="D36" s="42">
        <v>100</v>
      </c>
      <c r="E36" s="42"/>
      <c r="F36" s="26"/>
      <c r="G36" s="26"/>
      <c r="H36" s="26"/>
      <c r="I36" s="26" t="s">
        <v>850</v>
      </c>
      <c r="J36" s="26"/>
      <c r="K36" s="26"/>
      <c r="L36" s="93"/>
      <c r="M36" s="93"/>
      <c r="N36" s="134">
        <f>($U$3*Q36)*(100%+R36)</f>
        <v>0</v>
      </c>
      <c r="O36" s="105">
        <f>Q36*(100%-P36)</f>
        <v>2.79</v>
      </c>
      <c r="P36" s="107">
        <f>P6</f>
        <v>0.38</v>
      </c>
      <c r="Q36" s="318">
        <v>4.5</v>
      </c>
      <c r="R36" s="136">
        <v>0</v>
      </c>
    </row>
    <row r="37" spans="2:18" ht="12.55" customHeight="1" x14ac:dyDescent="0.35">
      <c r="B37" s="83">
        <v>3050160012</v>
      </c>
      <c r="C37" s="26"/>
      <c r="D37" s="42">
        <v>100</v>
      </c>
      <c r="E37" s="42"/>
      <c r="F37" s="26" t="s">
        <v>849</v>
      </c>
      <c r="G37" s="26"/>
      <c r="H37" s="26"/>
      <c r="I37" s="26" t="s">
        <v>851</v>
      </c>
      <c r="J37" s="26"/>
      <c r="K37" s="26"/>
      <c r="L37" s="93"/>
      <c r="M37" s="93"/>
      <c r="N37" s="134">
        <f>($U$3*Q37)*(100%+R37)</f>
        <v>0</v>
      </c>
      <c r="O37" s="105">
        <f>Q37*(100%-P37)</f>
        <v>3.9059999999999997</v>
      </c>
      <c r="P37" s="107">
        <f>P6</f>
        <v>0.38</v>
      </c>
      <c r="Q37" s="318">
        <v>6.3</v>
      </c>
      <c r="R37" s="136">
        <v>0</v>
      </c>
    </row>
    <row r="38" spans="2:18" ht="18" customHeight="1" x14ac:dyDescent="0.35"/>
    <row r="39" spans="2:18" ht="18.55" customHeight="1" x14ac:dyDescent="0.35">
      <c r="B39" s="17" t="s">
        <v>852</v>
      </c>
      <c r="P39" s="325"/>
      <c r="Q39" s="127"/>
      <c r="R39" s="127"/>
    </row>
    <row r="40" spans="2:18" ht="6.45" customHeight="1" x14ac:dyDescent="0.35"/>
    <row r="41" spans="2:18" ht="14.5" customHeight="1" x14ac:dyDescent="0.35">
      <c r="B41" s="178" t="s">
        <v>27</v>
      </c>
      <c r="C41" s="179"/>
      <c r="D41" s="375" t="s">
        <v>828</v>
      </c>
      <c r="E41" s="181"/>
      <c r="F41" s="182" t="s">
        <v>335</v>
      </c>
      <c r="G41" s="182"/>
      <c r="H41" s="182"/>
      <c r="I41" s="182" t="s">
        <v>832</v>
      </c>
      <c r="J41" s="182"/>
      <c r="K41" s="182"/>
      <c r="L41" s="182"/>
      <c r="M41" s="183"/>
      <c r="N41" s="149" t="s">
        <v>77</v>
      </c>
      <c r="O41" s="139" t="s">
        <v>90</v>
      </c>
      <c r="P41" s="43" t="s">
        <v>30</v>
      </c>
      <c r="Q41" s="139" t="s">
        <v>161</v>
      </c>
      <c r="R41" s="133" t="s">
        <v>40</v>
      </c>
    </row>
    <row r="42" spans="2:18" ht="12.55" customHeight="1" x14ac:dyDescent="0.35">
      <c r="B42" s="83">
        <v>3050160013</v>
      </c>
      <c r="C42" s="26"/>
      <c r="D42" s="42">
        <v>100</v>
      </c>
      <c r="E42" s="42"/>
      <c r="F42" s="26" t="s">
        <v>853</v>
      </c>
      <c r="G42" s="26"/>
      <c r="H42" s="26"/>
      <c r="I42" s="26" t="s">
        <v>854</v>
      </c>
      <c r="J42" s="26"/>
      <c r="K42" s="26"/>
      <c r="L42" s="93"/>
      <c r="M42" s="93"/>
      <c r="N42" s="134">
        <f>($U$3*Q42)*(100%+R42)</f>
        <v>0</v>
      </c>
      <c r="O42" s="105">
        <f>Q42*(100%-P42)</f>
        <v>11.222000000000001</v>
      </c>
      <c r="P42" s="107">
        <f>P6</f>
        <v>0.38</v>
      </c>
      <c r="Q42" s="318">
        <v>18.100000000000001</v>
      </c>
      <c r="R42" s="136">
        <v>0</v>
      </c>
    </row>
    <row r="43" spans="2:18" ht="12.55" customHeight="1" x14ac:dyDescent="0.35">
      <c r="B43" s="83">
        <v>3050160014</v>
      </c>
      <c r="C43" s="26"/>
      <c r="D43" s="42">
        <v>100</v>
      </c>
      <c r="E43" s="42"/>
      <c r="F43" s="26"/>
      <c r="G43" s="26"/>
      <c r="H43" s="26"/>
      <c r="I43" s="26" t="s">
        <v>855</v>
      </c>
      <c r="J43" s="26"/>
      <c r="K43" s="26"/>
      <c r="L43" s="93"/>
      <c r="M43" s="93"/>
      <c r="N43" s="134">
        <f>($U$3*Q43)*(100%+R43)</f>
        <v>0</v>
      </c>
      <c r="O43" s="105">
        <f>Q43*(100%-P43)</f>
        <v>6.51</v>
      </c>
      <c r="P43" s="107">
        <f>P6</f>
        <v>0.38</v>
      </c>
      <c r="Q43" s="318">
        <v>10.5</v>
      </c>
      <c r="R43" s="136">
        <v>0</v>
      </c>
    </row>
    <row r="44" spans="2:18" ht="18" customHeight="1" x14ac:dyDescent="0.35"/>
    <row r="45" spans="2:18" ht="18.55" customHeight="1" x14ac:dyDescent="0.35">
      <c r="B45" s="17" t="s">
        <v>856</v>
      </c>
      <c r="P45" s="325"/>
      <c r="Q45" s="127"/>
      <c r="R45" s="127"/>
    </row>
    <row r="46" spans="2:18" ht="6.45" customHeight="1" x14ac:dyDescent="0.35"/>
    <row r="47" spans="2:18" ht="14.5" customHeight="1" x14ac:dyDescent="0.35">
      <c r="B47" s="178" t="s">
        <v>27</v>
      </c>
      <c r="C47" s="179"/>
      <c r="D47" s="375" t="s">
        <v>828</v>
      </c>
      <c r="E47" s="181"/>
      <c r="F47" s="182"/>
      <c r="G47" s="182"/>
      <c r="H47" s="182"/>
      <c r="I47" s="182" t="s">
        <v>832</v>
      </c>
      <c r="J47" s="182"/>
      <c r="K47" s="182"/>
      <c r="L47" s="182"/>
      <c r="M47" s="183"/>
      <c r="N47" s="149" t="s">
        <v>77</v>
      </c>
      <c r="O47" s="139" t="s">
        <v>90</v>
      </c>
      <c r="P47" s="43" t="s">
        <v>30</v>
      </c>
      <c r="Q47" s="139" t="s">
        <v>161</v>
      </c>
      <c r="R47" s="133" t="s">
        <v>40</v>
      </c>
    </row>
    <row r="48" spans="2:18" ht="12.55" customHeight="1" x14ac:dyDescent="0.35">
      <c r="B48" s="83">
        <v>3050160015</v>
      </c>
      <c r="C48" s="26"/>
      <c r="D48" s="42" t="s">
        <v>857</v>
      </c>
      <c r="E48" s="42"/>
      <c r="F48" s="26"/>
      <c r="G48" s="26"/>
      <c r="H48" s="26"/>
      <c r="I48" s="26" t="s">
        <v>858</v>
      </c>
      <c r="J48" s="26"/>
      <c r="K48" s="26"/>
      <c r="L48" s="93"/>
      <c r="M48" s="93"/>
      <c r="N48" s="134">
        <f>($U$3*Q48)*(100%+R48)</f>
        <v>0</v>
      </c>
      <c r="O48" s="105">
        <f>Q48*(100%-P48)</f>
        <v>5.89</v>
      </c>
      <c r="P48" s="107">
        <f>P6</f>
        <v>0.38</v>
      </c>
      <c r="Q48" s="318">
        <v>9.5</v>
      </c>
      <c r="R48" s="136">
        <v>0</v>
      </c>
    </row>
    <row r="49" spans="2:18" ht="8.0500000000000007" customHeight="1" x14ac:dyDescent="0.35">
      <c r="B49" s="83"/>
      <c r="C49" s="26"/>
      <c r="D49" s="42"/>
      <c r="E49" s="42"/>
      <c r="F49" s="26"/>
      <c r="G49" s="26"/>
      <c r="H49" s="26"/>
      <c r="I49" s="26"/>
      <c r="J49" s="26"/>
      <c r="K49" s="26"/>
      <c r="L49" s="93"/>
      <c r="M49" s="93"/>
      <c r="N49" s="131"/>
      <c r="O49" s="105"/>
      <c r="P49" s="107"/>
      <c r="Q49" s="318"/>
      <c r="R49" s="136"/>
    </row>
    <row r="50" spans="2:18" ht="8.0500000000000007" customHeight="1" x14ac:dyDescent="0.35"/>
    <row r="51" spans="2:18" ht="18.55" customHeight="1" x14ac:dyDescent="0.35">
      <c r="B51" s="17" t="s">
        <v>859</v>
      </c>
      <c r="P51" s="325"/>
      <c r="Q51" s="127"/>
      <c r="R51" s="127"/>
    </row>
    <row r="52" spans="2:18" ht="6.45" customHeight="1" x14ac:dyDescent="0.35"/>
    <row r="53" spans="2:18" ht="14.5" customHeight="1" x14ac:dyDescent="0.35">
      <c r="B53" s="178" t="s">
        <v>27</v>
      </c>
      <c r="C53" s="179"/>
      <c r="D53" s="375"/>
      <c r="E53" s="181"/>
      <c r="F53" s="182" t="s">
        <v>335</v>
      </c>
      <c r="G53" s="182"/>
      <c r="H53" s="182"/>
      <c r="I53" s="182" t="s">
        <v>832</v>
      </c>
      <c r="J53" s="182"/>
      <c r="K53" s="182"/>
      <c r="L53" s="182"/>
      <c r="M53" s="183"/>
      <c r="N53" s="149" t="s">
        <v>77</v>
      </c>
      <c r="O53" s="139" t="s">
        <v>90</v>
      </c>
      <c r="P53" s="43" t="s">
        <v>30</v>
      </c>
      <c r="Q53" s="139" t="s">
        <v>161</v>
      </c>
      <c r="R53" s="133" t="s">
        <v>40</v>
      </c>
    </row>
    <row r="54" spans="2:18" ht="12.55" customHeight="1" x14ac:dyDescent="0.35">
      <c r="B54" s="83">
        <v>3050160016</v>
      </c>
      <c r="C54" s="26"/>
      <c r="D54" s="42"/>
      <c r="E54" s="42"/>
      <c r="F54" s="26" t="s">
        <v>860</v>
      </c>
      <c r="G54" s="26"/>
      <c r="H54" s="26"/>
      <c r="I54" s="26" t="s">
        <v>861</v>
      </c>
      <c r="J54" s="26"/>
      <c r="K54" s="26"/>
      <c r="L54" s="93"/>
      <c r="M54" s="93"/>
      <c r="N54" s="134">
        <f>($U$3*Q54)*(100%+R54)</f>
        <v>0</v>
      </c>
      <c r="O54" s="105">
        <f>Q54*(100%-P54)</f>
        <v>5.3319999999999999</v>
      </c>
      <c r="P54" s="107">
        <f>P6</f>
        <v>0.38</v>
      </c>
      <c r="Q54" s="318">
        <v>8.6</v>
      </c>
      <c r="R54" s="136">
        <v>0</v>
      </c>
    </row>
    <row r="58" spans="2:18" ht="8.0500000000000007" customHeight="1" x14ac:dyDescent="0.35"/>
    <row r="59" spans="2:18" ht="18.55" customHeight="1" x14ac:dyDescent="0.35">
      <c r="B59" s="17" t="s">
        <v>862</v>
      </c>
      <c r="P59" s="325"/>
      <c r="Q59" s="127"/>
      <c r="R59" s="127"/>
    </row>
    <row r="60" spans="2:18" ht="6.45" customHeight="1" x14ac:dyDescent="0.35"/>
    <row r="61" spans="2:18" ht="14.5" customHeight="1" x14ac:dyDescent="0.35">
      <c r="B61" s="178" t="s">
        <v>27</v>
      </c>
      <c r="C61" s="179"/>
      <c r="D61" s="375" t="s">
        <v>828</v>
      </c>
      <c r="E61" s="181" t="s">
        <v>110</v>
      </c>
      <c r="F61" s="182"/>
      <c r="G61" s="182"/>
      <c r="H61" s="182"/>
      <c r="I61" s="182" t="s">
        <v>832</v>
      </c>
      <c r="J61" s="182"/>
      <c r="K61" s="182"/>
      <c r="L61" s="182"/>
      <c r="M61" s="183"/>
      <c r="N61" s="149" t="s">
        <v>77</v>
      </c>
      <c r="O61" s="139" t="s">
        <v>90</v>
      </c>
      <c r="P61" s="43" t="s">
        <v>30</v>
      </c>
      <c r="Q61" s="139" t="s">
        <v>161</v>
      </c>
      <c r="R61" s="133" t="s">
        <v>40</v>
      </c>
    </row>
    <row r="62" spans="2:18" ht="12.55" customHeight="1" x14ac:dyDescent="0.35">
      <c r="B62" s="83">
        <v>3050160017</v>
      </c>
      <c r="C62" s="26"/>
      <c r="D62" s="42">
        <v>50</v>
      </c>
      <c r="E62" s="42" t="s">
        <v>148</v>
      </c>
      <c r="F62" s="26"/>
      <c r="G62" s="26"/>
      <c r="H62" s="26"/>
      <c r="I62" s="26" t="s">
        <v>866</v>
      </c>
      <c r="J62" s="26"/>
      <c r="K62" s="26"/>
      <c r="L62" s="93"/>
      <c r="M62" s="93"/>
      <c r="N62" s="134">
        <f>($U$3*Q62)*(100%+R62)</f>
        <v>0</v>
      </c>
      <c r="O62" s="105">
        <f>Q62*(100%-P62)</f>
        <v>54.436</v>
      </c>
      <c r="P62" s="107">
        <f>P6</f>
        <v>0.38</v>
      </c>
      <c r="Q62" s="318">
        <v>87.8</v>
      </c>
      <c r="R62" s="136">
        <v>0</v>
      </c>
    </row>
    <row r="63" spans="2:18" ht="12.55" customHeight="1" x14ac:dyDescent="0.35">
      <c r="B63" s="83">
        <v>3050160018</v>
      </c>
      <c r="C63" s="26"/>
      <c r="D63" s="42">
        <v>70</v>
      </c>
      <c r="E63" s="42" t="s">
        <v>148</v>
      </c>
      <c r="F63" s="26"/>
      <c r="G63" s="26"/>
      <c r="H63" s="26"/>
      <c r="I63" s="26" t="s">
        <v>867</v>
      </c>
      <c r="J63" s="26"/>
      <c r="K63" s="26"/>
      <c r="L63" s="93"/>
      <c r="M63" s="93"/>
      <c r="N63" s="134">
        <f t="shared" ref="N63:N64" si="1">($U$3*Q63)*(100%+R63)</f>
        <v>0</v>
      </c>
      <c r="O63" s="105">
        <f t="shared" ref="O63:O64" si="2">Q63*(100%-P63)</f>
        <v>62.868000000000002</v>
      </c>
      <c r="P63" s="107">
        <f>P6</f>
        <v>0.38</v>
      </c>
      <c r="Q63" s="318">
        <v>101.4</v>
      </c>
      <c r="R63" s="136">
        <v>0</v>
      </c>
    </row>
    <row r="64" spans="2:18" ht="12.55" customHeight="1" x14ac:dyDescent="0.35">
      <c r="B64" s="83">
        <v>3050160019</v>
      </c>
      <c r="C64" s="26"/>
      <c r="D64" s="42">
        <v>100</v>
      </c>
      <c r="E64" s="42" t="s">
        <v>148</v>
      </c>
      <c r="F64" s="26"/>
      <c r="G64" s="26"/>
      <c r="H64" s="26"/>
      <c r="I64" s="26" t="s">
        <v>868</v>
      </c>
      <c r="J64" s="26"/>
      <c r="K64" s="26"/>
      <c r="L64" s="93"/>
      <c r="M64" s="93"/>
      <c r="N64" s="134">
        <f t="shared" si="1"/>
        <v>0</v>
      </c>
      <c r="O64" s="105">
        <f t="shared" si="2"/>
        <v>86.427999999999997</v>
      </c>
      <c r="P64" s="107">
        <f>P6</f>
        <v>0.38</v>
      </c>
      <c r="Q64" s="318">
        <v>139.4</v>
      </c>
      <c r="R64" s="136">
        <v>0</v>
      </c>
    </row>
    <row r="65" spans="2:18" ht="8.0500000000000007" customHeight="1" x14ac:dyDescent="0.35">
      <c r="B65" s="83"/>
      <c r="C65" s="26"/>
      <c r="D65" s="42"/>
      <c r="E65" s="42"/>
      <c r="F65" s="26"/>
      <c r="G65" s="26"/>
      <c r="H65" s="26"/>
      <c r="I65" s="26"/>
      <c r="J65" s="26"/>
      <c r="K65" s="26"/>
      <c r="L65" s="93"/>
      <c r="M65" s="93"/>
      <c r="N65" s="131"/>
      <c r="O65" s="105"/>
      <c r="P65" s="107"/>
      <c r="Q65" s="318"/>
      <c r="R65" s="136"/>
    </row>
    <row r="66" spans="2:18" ht="8.0500000000000007" customHeight="1" x14ac:dyDescent="0.35"/>
    <row r="67" spans="2:18" ht="18.55" customHeight="1" x14ac:dyDescent="0.35">
      <c r="B67" s="17" t="s">
        <v>869</v>
      </c>
      <c r="P67" s="325"/>
      <c r="Q67" s="127"/>
      <c r="R67" s="127"/>
    </row>
    <row r="68" spans="2:18" ht="6.45" customHeight="1" x14ac:dyDescent="0.35"/>
    <row r="69" spans="2:18" ht="14.5" customHeight="1" x14ac:dyDescent="0.35">
      <c r="B69" s="178" t="s">
        <v>27</v>
      </c>
      <c r="C69" s="179"/>
      <c r="D69" s="375" t="s">
        <v>828</v>
      </c>
      <c r="E69" s="181"/>
      <c r="F69" s="182" t="s">
        <v>335</v>
      </c>
      <c r="G69" s="182"/>
      <c r="H69" s="182"/>
      <c r="I69" s="182" t="s">
        <v>832</v>
      </c>
      <c r="J69" s="182"/>
      <c r="K69" s="182"/>
      <c r="L69" s="182"/>
      <c r="M69" s="183"/>
      <c r="N69" s="149" t="s">
        <v>77</v>
      </c>
      <c r="O69" s="139" t="s">
        <v>90</v>
      </c>
      <c r="P69" s="43" t="s">
        <v>30</v>
      </c>
      <c r="Q69" s="139" t="s">
        <v>161</v>
      </c>
      <c r="R69" s="133" t="s">
        <v>40</v>
      </c>
    </row>
    <row r="70" spans="2:18" ht="12.55" customHeight="1" x14ac:dyDescent="0.35">
      <c r="B70" s="83">
        <v>3050160020</v>
      </c>
      <c r="C70" s="26"/>
      <c r="D70" s="42">
        <v>50</v>
      </c>
      <c r="E70" s="42"/>
      <c r="F70" s="26" t="s">
        <v>870</v>
      </c>
      <c r="G70" s="26"/>
      <c r="H70" s="26"/>
      <c r="I70" s="26" t="s">
        <v>863</v>
      </c>
      <c r="J70" s="26"/>
      <c r="K70" s="26"/>
      <c r="L70" s="93"/>
      <c r="M70" s="93"/>
      <c r="N70" s="134">
        <f>($U$3*Q70)*(100%+R70)</f>
        <v>0</v>
      </c>
      <c r="O70" s="105">
        <f>Q70*(100%-P70)</f>
        <v>19.592000000000002</v>
      </c>
      <c r="P70" s="107">
        <f>P6</f>
        <v>0.38</v>
      </c>
      <c r="Q70" s="318">
        <v>31.6</v>
      </c>
      <c r="R70" s="136">
        <v>0</v>
      </c>
    </row>
    <row r="71" spans="2:18" ht="12.55" customHeight="1" x14ac:dyDescent="0.35">
      <c r="B71" s="83">
        <v>3050160021</v>
      </c>
      <c r="C71" s="26"/>
      <c r="D71" s="42">
        <v>70</v>
      </c>
      <c r="E71" s="42"/>
      <c r="F71" s="26" t="s">
        <v>870</v>
      </c>
      <c r="G71" s="26"/>
      <c r="H71" s="26"/>
      <c r="I71" s="26" t="s">
        <v>864</v>
      </c>
      <c r="J71" s="26"/>
      <c r="K71" s="26"/>
      <c r="L71" s="93"/>
      <c r="M71" s="93"/>
      <c r="N71" s="134">
        <f t="shared" ref="N71:N72" si="3">($U$3*Q71)*(100%+R71)</f>
        <v>0</v>
      </c>
      <c r="O71" s="105">
        <f t="shared" ref="O71:O72" si="4">Q71*(100%-P71)</f>
        <v>31.434000000000001</v>
      </c>
      <c r="P71" s="107">
        <f>P6</f>
        <v>0.38</v>
      </c>
      <c r="Q71" s="318">
        <v>50.7</v>
      </c>
      <c r="R71" s="136">
        <v>0</v>
      </c>
    </row>
    <row r="72" spans="2:18" ht="12.55" customHeight="1" x14ac:dyDescent="0.35">
      <c r="B72" s="83">
        <v>3050160022</v>
      </c>
      <c r="C72" s="26"/>
      <c r="D72" s="42">
        <v>100</v>
      </c>
      <c r="E72" s="42"/>
      <c r="F72" s="26" t="s">
        <v>870</v>
      </c>
      <c r="G72" s="26"/>
      <c r="H72" s="26"/>
      <c r="I72" s="26" t="s">
        <v>865</v>
      </c>
      <c r="J72" s="26"/>
      <c r="K72" s="26"/>
      <c r="L72" s="93"/>
      <c r="M72" s="93"/>
      <c r="N72" s="134">
        <f t="shared" si="3"/>
        <v>0</v>
      </c>
      <c r="O72" s="105">
        <f t="shared" si="4"/>
        <v>41.105999999999995</v>
      </c>
      <c r="P72" s="107">
        <f>P6</f>
        <v>0.38</v>
      </c>
      <c r="Q72" s="318">
        <v>66.3</v>
      </c>
      <c r="R72" s="136">
        <v>0</v>
      </c>
    </row>
    <row r="73" spans="2:18" ht="12.55" customHeight="1" x14ac:dyDescent="0.35"/>
    <row r="74" spans="2:18" ht="12.55" customHeight="1" x14ac:dyDescent="0.35"/>
    <row r="75" spans="2:18" ht="12.55" customHeight="1" x14ac:dyDescent="0.35"/>
    <row r="76" spans="2:18" ht="12.55" customHeight="1" x14ac:dyDescent="0.35"/>
    <row r="77" spans="2:18" ht="12.55" customHeight="1" x14ac:dyDescent="0.35"/>
    <row r="78" spans="2:18" ht="12.55" customHeight="1" x14ac:dyDescent="0.35"/>
    <row r="79" spans="2:18" ht="12.55" customHeight="1" x14ac:dyDescent="0.35"/>
    <row r="80" spans="2:18" ht="12.55" customHeight="1" x14ac:dyDescent="0.35"/>
    <row r="81" ht="12.55" customHeight="1" x14ac:dyDescent="0.35"/>
    <row r="82" ht="12.55" customHeight="1" x14ac:dyDescent="0.35"/>
    <row r="83" ht="12.55" customHeight="1" x14ac:dyDescent="0.35"/>
    <row r="84" ht="12.55" customHeight="1" x14ac:dyDescent="0.35"/>
    <row r="85" ht="12.55" customHeight="1" x14ac:dyDescent="0.35"/>
    <row r="86" ht="12.55" customHeight="1" x14ac:dyDescent="0.35"/>
    <row r="87" ht="12.55" customHeight="1" x14ac:dyDescent="0.35"/>
    <row r="88" ht="12.55" customHeight="1" x14ac:dyDescent="0.35"/>
    <row r="89" ht="12.55" customHeight="1" x14ac:dyDescent="0.35"/>
    <row r="90" ht="12.55" customHeight="1" x14ac:dyDescent="0.35"/>
    <row r="91" ht="12.55" customHeight="1" x14ac:dyDescent="0.35"/>
    <row r="92" ht="12.55" customHeight="1" x14ac:dyDescent="0.35"/>
    <row r="93" ht="12.55" customHeight="1" x14ac:dyDescent="0.35"/>
    <row r="94" ht="12.55" customHeight="1" x14ac:dyDescent="0.35"/>
    <row r="95" ht="12.55" customHeight="1" x14ac:dyDescent="0.35"/>
    <row r="96" ht="12.55" customHeight="1" x14ac:dyDescent="0.35"/>
    <row r="97" ht="12.55" customHeight="1" x14ac:dyDescent="0.35"/>
    <row r="98" ht="12.55" customHeight="1" x14ac:dyDescent="0.35"/>
    <row r="99" ht="12.55" customHeight="1" x14ac:dyDescent="0.35"/>
    <row r="100" ht="12.55" customHeight="1" x14ac:dyDescent="0.35"/>
    <row r="101" ht="12.55" customHeight="1" x14ac:dyDescent="0.35"/>
    <row r="102" ht="12.55" customHeight="1" x14ac:dyDescent="0.35"/>
    <row r="103" ht="12.55" customHeight="1" x14ac:dyDescent="0.35"/>
    <row r="104" ht="12.55" customHeight="1" x14ac:dyDescent="0.35"/>
    <row r="105" ht="12.55" customHeight="1" x14ac:dyDescent="0.35"/>
    <row r="106" ht="12.55" customHeight="1" x14ac:dyDescent="0.35"/>
    <row r="107" ht="12.55" customHeight="1" x14ac:dyDescent="0.35"/>
    <row r="108" ht="12.55" customHeight="1" x14ac:dyDescent="0.35"/>
    <row r="109" ht="12.55" customHeight="1" x14ac:dyDescent="0.35"/>
    <row r="110" ht="12.55" customHeight="1" x14ac:dyDescent="0.35"/>
    <row r="111" ht="12.55" customHeight="1" x14ac:dyDescent="0.35"/>
    <row r="112" ht="12.55" customHeight="1" x14ac:dyDescent="0.35"/>
    <row r="113" ht="12.55" customHeight="1" x14ac:dyDescent="0.35"/>
    <row r="114" ht="12.55" customHeight="1" x14ac:dyDescent="0.35"/>
    <row r="115" ht="12.55" customHeight="1" x14ac:dyDescent="0.35"/>
    <row r="116" ht="12.55" customHeight="1" x14ac:dyDescent="0.35"/>
    <row r="117" ht="12.55" customHeight="1" x14ac:dyDescent="0.35"/>
    <row r="118" ht="12.55" customHeight="1" x14ac:dyDescent="0.35"/>
    <row r="119" ht="12.55" customHeight="1" x14ac:dyDescent="0.35"/>
    <row r="120" ht="12.55" customHeight="1" x14ac:dyDescent="0.35"/>
    <row r="121" ht="12.55" customHeight="1" x14ac:dyDescent="0.35"/>
    <row r="122" ht="12.55" customHeight="1" x14ac:dyDescent="0.35"/>
    <row r="123" ht="12.55" customHeight="1" x14ac:dyDescent="0.35"/>
    <row r="124" ht="12.55" customHeight="1" x14ac:dyDescent="0.35"/>
    <row r="125" ht="12.55" customHeight="1" x14ac:dyDescent="0.35"/>
    <row r="126" ht="12.55" customHeight="1" x14ac:dyDescent="0.35"/>
    <row r="127" ht="12.55" customHeight="1" x14ac:dyDescent="0.35"/>
    <row r="128" ht="12.55" customHeight="1" x14ac:dyDescent="0.35"/>
    <row r="129" ht="12.55" customHeight="1" x14ac:dyDescent="0.35"/>
    <row r="130" ht="12.55" customHeight="1" x14ac:dyDescent="0.35"/>
    <row r="131" ht="12.55" customHeight="1" x14ac:dyDescent="0.35"/>
    <row r="132" ht="12.55" customHeight="1" x14ac:dyDescent="0.35"/>
    <row r="133" ht="12.55" customHeight="1" x14ac:dyDescent="0.35"/>
    <row r="134" ht="12.55" customHeight="1" x14ac:dyDescent="0.35"/>
    <row r="135" ht="12.55" customHeight="1" x14ac:dyDescent="0.35"/>
    <row r="136" ht="12.55" customHeight="1" x14ac:dyDescent="0.35"/>
    <row r="137" ht="12.55" customHeight="1" x14ac:dyDescent="0.35"/>
    <row r="138" ht="12.55" customHeight="1" x14ac:dyDescent="0.35"/>
    <row r="139" ht="12.55" customHeight="1" x14ac:dyDescent="0.35"/>
    <row r="140" ht="12.55" customHeight="1" x14ac:dyDescent="0.35"/>
    <row r="141" ht="12.55" customHeight="1" x14ac:dyDescent="0.35"/>
    <row r="142" ht="12.55" customHeight="1" x14ac:dyDescent="0.35"/>
    <row r="143" ht="12.55" customHeight="1" x14ac:dyDescent="0.35"/>
    <row r="144" ht="12.55" customHeight="1" x14ac:dyDescent="0.35"/>
    <row r="145" ht="12.55" customHeight="1" x14ac:dyDescent="0.35"/>
    <row r="146" ht="12.55" customHeight="1" x14ac:dyDescent="0.35"/>
    <row r="147" ht="12.55" customHeight="1" x14ac:dyDescent="0.35"/>
    <row r="148" ht="12.55" customHeight="1" x14ac:dyDescent="0.35"/>
    <row r="149" ht="12.55" customHeight="1" x14ac:dyDescent="0.35"/>
    <row r="150" ht="12.55" customHeight="1" x14ac:dyDescent="0.35"/>
    <row r="151" ht="12.55" customHeight="1" x14ac:dyDescent="0.35"/>
    <row r="152" ht="12.55" customHeight="1" x14ac:dyDescent="0.35"/>
    <row r="153" ht="12.55" customHeight="1" x14ac:dyDescent="0.35"/>
    <row r="154" ht="12.55" customHeight="1" x14ac:dyDescent="0.35"/>
    <row r="155" ht="12.55" customHeight="1" x14ac:dyDescent="0.35"/>
    <row r="156" ht="12.55" customHeight="1" x14ac:dyDescent="0.35"/>
    <row r="157" ht="12.55" customHeight="1" x14ac:dyDescent="0.35"/>
    <row r="158" ht="12.55" customHeight="1" x14ac:dyDescent="0.35"/>
    <row r="159" ht="12.55" customHeight="1" x14ac:dyDescent="0.35"/>
    <row r="160" ht="12.55" customHeight="1" x14ac:dyDescent="0.35"/>
    <row r="161" ht="12.55" customHeight="1" x14ac:dyDescent="0.35"/>
    <row r="162" ht="12.55" customHeight="1" x14ac:dyDescent="0.35"/>
    <row r="163" ht="12.55" customHeight="1" x14ac:dyDescent="0.35"/>
    <row r="164" ht="12.55" customHeight="1" x14ac:dyDescent="0.35"/>
    <row r="165" ht="12.55" customHeight="1" x14ac:dyDescent="0.35"/>
    <row r="166" ht="12.55" customHeight="1" x14ac:dyDescent="0.35"/>
    <row r="167" ht="12.55" customHeight="1" x14ac:dyDescent="0.35"/>
    <row r="168" ht="12.55" customHeight="1" x14ac:dyDescent="0.35"/>
    <row r="169" ht="12.55" customHeight="1" x14ac:dyDescent="0.35"/>
    <row r="170" ht="12.55" customHeight="1" x14ac:dyDescent="0.35"/>
    <row r="171" ht="12.55" customHeight="1" x14ac:dyDescent="0.35"/>
    <row r="172" ht="12.55" customHeight="1" x14ac:dyDescent="0.35"/>
    <row r="173" ht="12.55" customHeight="1" x14ac:dyDescent="0.35"/>
    <row r="174" ht="12.55" customHeight="1" x14ac:dyDescent="0.35"/>
    <row r="175" ht="12.55" customHeight="1" x14ac:dyDescent="0.35"/>
    <row r="176" ht="12.55" customHeight="1" x14ac:dyDescent="0.35"/>
    <row r="177" ht="12.55" customHeight="1" x14ac:dyDescent="0.35"/>
    <row r="178" ht="12.55" customHeight="1" x14ac:dyDescent="0.35"/>
    <row r="179" ht="12.55" customHeight="1" x14ac:dyDescent="0.35"/>
    <row r="180" ht="12.55" customHeight="1" x14ac:dyDescent="0.35"/>
    <row r="181" ht="12.55" customHeight="1" x14ac:dyDescent="0.35"/>
    <row r="182" ht="12.55" customHeight="1" x14ac:dyDescent="0.35"/>
    <row r="183" ht="12.55" customHeight="1" x14ac:dyDescent="0.35"/>
    <row r="184" ht="12.55" customHeight="1" x14ac:dyDescent="0.35"/>
    <row r="185" ht="12.55" customHeight="1" x14ac:dyDescent="0.35"/>
    <row r="186" ht="12.55" customHeight="1" x14ac:dyDescent="0.35"/>
    <row r="187" ht="12.55" customHeight="1" x14ac:dyDescent="0.35"/>
    <row r="188" ht="12.55" customHeight="1" x14ac:dyDescent="0.35"/>
    <row r="189" ht="12.55" customHeight="1" x14ac:dyDescent="0.35"/>
    <row r="190" ht="12.55" customHeight="1" x14ac:dyDescent="0.35"/>
    <row r="191" ht="12.55" customHeight="1" x14ac:dyDescent="0.35"/>
    <row r="192" ht="12.55" customHeight="1" x14ac:dyDescent="0.35"/>
    <row r="193" ht="12.55" customHeight="1" x14ac:dyDescent="0.35"/>
    <row r="194" ht="12.55" customHeight="1" x14ac:dyDescent="0.35"/>
    <row r="195" ht="12.55" customHeight="1" x14ac:dyDescent="0.35"/>
    <row r="196" ht="12.55" customHeight="1" x14ac:dyDescent="0.35"/>
    <row r="197" ht="12.55" customHeight="1" x14ac:dyDescent="0.35"/>
    <row r="198" ht="12.55" customHeight="1" x14ac:dyDescent="0.35"/>
    <row r="199" ht="12.55" customHeight="1" x14ac:dyDescent="0.35"/>
    <row r="200" ht="12.55" customHeight="1" x14ac:dyDescent="0.35"/>
    <row r="201" ht="12.55" customHeight="1" x14ac:dyDescent="0.35"/>
    <row r="202" ht="12.55" customHeight="1" x14ac:dyDescent="0.35"/>
    <row r="203" ht="12.55" customHeight="1" x14ac:dyDescent="0.35"/>
    <row r="204" ht="12.55" customHeight="1" x14ac:dyDescent="0.35"/>
    <row r="205" ht="12.55" customHeight="1" x14ac:dyDescent="0.35"/>
    <row r="206" ht="12.55" customHeight="1" x14ac:dyDescent="0.35"/>
    <row r="207" ht="12.55" customHeight="1" x14ac:dyDescent="0.35"/>
    <row r="208" ht="12.55" customHeight="1" x14ac:dyDescent="0.35"/>
    <row r="209" ht="12.55" customHeight="1" x14ac:dyDescent="0.35"/>
    <row r="210" ht="12.55" customHeight="1" x14ac:dyDescent="0.35"/>
    <row r="211" ht="12.55" customHeight="1" x14ac:dyDescent="0.35"/>
    <row r="212" ht="12.55" customHeight="1" x14ac:dyDescent="0.35"/>
    <row r="213" ht="12.55" customHeight="1" x14ac:dyDescent="0.35"/>
    <row r="214" ht="12.55" customHeight="1" x14ac:dyDescent="0.35"/>
    <row r="215" ht="12.55" customHeight="1" x14ac:dyDescent="0.35"/>
    <row r="216" ht="12.55" customHeight="1" x14ac:dyDescent="0.35"/>
    <row r="217" ht="12.55" customHeight="1" x14ac:dyDescent="0.35"/>
    <row r="218" ht="12.55" customHeight="1" x14ac:dyDescent="0.35"/>
    <row r="219" ht="12.55" customHeight="1" x14ac:dyDescent="0.35"/>
    <row r="220" ht="12.55" customHeight="1" x14ac:dyDescent="0.35"/>
    <row r="221" ht="12.55" customHeight="1" x14ac:dyDescent="0.35"/>
    <row r="222" ht="12.55" customHeight="1" x14ac:dyDescent="0.35"/>
    <row r="223" ht="12.55" customHeight="1" x14ac:dyDescent="0.35"/>
    <row r="224" ht="12.55" customHeight="1" x14ac:dyDescent="0.35"/>
    <row r="225" ht="12.55" customHeight="1" x14ac:dyDescent="0.35"/>
    <row r="226" ht="12.55" customHeight="1" x14ac:dyDescent="0.35"/>
    <row r="227" ht="12.55" customHeight="1" x14ac:dyDescent="0.35"/>
    <row r="228" ht="12.55" customHeight="1" x14ac:dyDescent="0.35"/>
    <row r="229" ht="12.55" customHeight="1" x14ac:dyDescent="0.35"/>
    <row r="230" ht="12.55" customHeight="1" x14ac:dyDescent="0.35"/>
    <row r="231" ht="12.55" customHeight="1" x14ac:dyDescent="0.35"/>
    <row r="232" ht="12.55" customHeight="1" x14ac:dyDescent="0.35"/>
    <row r="233" ht="12.55" customHeight="1" x14ac:dyDescent="0.35"/>
    <row r="234" ht="12.55" customHeight="1" x14ac:dyDescent="0.35"/>
    <row r="235" ht="12.55" customHeight="1" x14ac:dyDescent="0.35"/>
    <row r="236" ht="12.55" customHeight="1" x14ac:dyDescent="0.35"/>
    <row r="237" ht="12.55" customHeight="1" x14ac:dyDescent="0.35"/>
    <row r="238" ht="12.55" customHeight="1" x14ac:dyDescent="0.35"/>
    <row r="239" ht="12.55" customHeight="1" x14ac:dyDescent="0.35"/>
    <row r="240" ht="12.55" customHeight="1" x14ac:dyDescent="0.35"/>
    <row r="241" ht="12.55" customHeight="1" x14ac:dyDescent="0.35"/>
    <row r="242" ht="12.55" customHeight="1" x14ac:dyDescent="0.35"/>
    <row r="243" ht="12.55" customHeight="1" x14ac:dyDescent="0.35"/>
    <row r="244" ht="12.55" customHeight="1" x14ac:dyDescent="0.35"/>
    <row r="245" ht="12.55" customHeight="1" x14ac:dyDescent="0.35"/>
    <row r="246" ht="12.55" customHeight="1" x14ac:dyDescent="0.35"/>
    <row r="247" ht="12.55" customHeight="1" x14ac:dyDescent="0.35"/>
    <row r="248" ht="12.55" customHeight="1" x14ac:dyDescent="0.35"/>
    <row r="249" ht="12.55" customHeight="1" x14ac:dyDescent="0.35"/>
    <row r="250" ht="12.55" customHeight="1" x14ac:dyDescent="0.35"/>
    <row r="251" ht="12.55" customHeight="1" x14ac:dyDescent="0.35"/>
    <row r="252" ht="12.55" customHeight="1" x14ac:dyDescent="0.35"/>
    <row r="253" ht="12.55" customHeight="1" x14ac:dyDescent="0.35"/>
    <row r="254" ht="12.55" customHeight="1" x14ac:dyDescent="0.35"/>
    <row r="255" ht="12.55" customHeight="1" x14ac:dyDescent="0.35"/>
    <row r="256" ht="12.55" customHeight="1" x14ac:dyDescent="0.35"/>
    <row r="257" ht="12.55" customHeight="1" x14ac:dyDescent="0.35"/>
    <row r="258" ht="12.55" customHeight="1" x14ac:dyDescent="0.35"/>
    <row r="259" ht="12.55" customHeight="1" x14ac:dyDescent="0.35"/>
    <row r="260" ht="12.55" customHeight="1" x14ac:dyDescent="0.35"/>
    <row r="261" ht="12.55" customHeight="1" x14ac:dyDescent="0.35"/>
    <row r="262" ht="12.55" customHeight="1" x14ac:dyDescent="0.35"/>
    <row r="263" ht="12.55" customHeight="1" x14ac:dyDescent="0.35"/>
    <row r="264" ht="12.55" customHeight="1" x14ac:dyDescent="0.35"/>
    <row r="265" ht="12.55" customHeight="1" x14ac:dyDescent="0.35"/>
    <row r="266" ht="12.55" customHeight="1" x14ac:dyDescent="0.35"/>
    <row r="267" ht="12.55" customHeight="1" x14ac:dyDescent="0.35"/>
    <row r="268" ht="12.55" customHeight="1" x14ac:dyDescent="0.35"/>
    <row r="269" ht="12.55" customHeight="1" x14ac:dyDescent="0.35"/>
    <row r="270" ht="12.55" customHeight="1" x14ac:dyDescent="0.35"/>
    <row r="271" ht="12.55" customHeight="1" x14ac:dyDescent="0.35"/>
    <row r="272" ht="12.55" customHeight="1" x14ac:dyDescent="0.35"/>
    <row r="273" ht="12.55" customHeight="1" x14ac:dyDescent="0.35"/>
    <row r="274" ht="12.55" customHeight="1" x14ac:dyDescent="0.35"/>
    <row r="275" ht="12.55" customHeight="1" x14ac:dyDescent="0.35"/>
    <row r="276" ht="12.55" customHeight="1" x14ac:dyDescent="0.35"/>
    <row r="277" ht="12.55" customHeight="1" x14ac:dyDescent="0.35"/>
    <row r="278" ht="12.55" customHeight="1" x14ac:dyDescent="0.35"/>
    <row r="279" ht="12.55" customHeight="1" x14ac:dyDescent="0.35"/>
    <row r="280" ht="12.55" customHeight="1" x14ac:dyDescent="0.35"/>
    <row r="281" ht="12.55" customHeight="1" x14ac:dyDescent="0.35"/>
    <row r="282" ht="12.55" customHeight="1" x14ac:dyDescent="0.35"/>
    <row r="283" ht="12.55" customHeight="1" x14ac:dyDescent="0.35"/>
    <row r="284" ht="12.55" customHeight="1" x14ac:dyDescent="0.35"/>
    <row r="285" ht="12.55" customHeight="1" x14ac:dyDescent="0.35"/>
    <row r="286" ht="12.55" customHeight="1" x14ac:dyDescent="0.35"/>
    <row r="287" ht="12.55" customHeight="1" x14ac:dyDescent="0.35"/>
    <row r="288" ht="12.55" customHeight="1" x14ac:dyDescent="0.35"/>
    <row r="289" ht="12.55" customHeight="1" x14ac:dyDescent="0.35"/>
    <row r="290" ht="12.55" customHeight="1" x14ac:dyDescent="0.35"/>
    <row r="291" ht="12.55" customHeight="1" x14ac:dyDescent="0.35"/>
    <row r="292" ht="12.55" customHeight="1" x14ac:dyDescent="0.35"/>
    <row r="293" ht="12.55" customHeight="1" x14ac:dyDescent="0.35"/>
    <row r="294" ht="12.55" customHeight="1" x14ac:dyDescent="0.35"/>
    <row r="295" ht="12.55" customHeight="1" x14ac:dyDescent="0.35"/>
    <row r="296" ht="12.55" customHeight="1" x14ac:dyDescent="0.35"/>
    <row r="297" ht="12.55" customHeight="1" x14ac:dyDescent="0.35"/>
    <row r="298" ht="12.55" customHeight="1" x14ac:dyDescent="0.35"/>
    <row r="299" ht="12.55" customHeight="1" x14ac:dyDescent="0.35"/>
    <row r="300" ht="12.55" customHeight="1" x14ac:dyDescent="0.35"/>
    <row r="301" ht="12.55" customHeight="1" x14ac:dyDescent="0.35"/>
    <row r="302" ht="12.55" customHeight="1" x14ac:dyDescent="0.35"/>
    <row r="303" ht="12.55" customHeight="1" x14ac:dyDescent="0.35"/>
    <row r="304" ht="12.55" customHeight="1" x14ac:dyDescent="0.35"/>
    <row r="305" ht="12.55" customHeight="1" x14ac:dyDescent="0.35"/>
    <row r="306" ht="12.55" customHeight="1" x14ac:dyDescent="0.35"/>
    <row r="307" ht="12.55" customHeight="1" x14ac:dyDescent="0.35"/>
    <row r="308" ht="12.55" customHeight="1" x14ac:dyDescent="0.35"/>
    <row r="309" ht="12.55" customHeight="1" x14ac:dyDescent="0.35"/>
    <row r="310" ht="12.55" customHeight="1" x14ac:dyDescent="0.35"/>
    <row r="311" ht="12.55" customHeight="1" x14ac:dyDescent="0.35"/>
    <row r="312" ht="12.55" customHeight="1" x14ac:dyDescent="0.35"/>
    <row r="313" ht="12.55" customHeight="1" x14ac:dyDescent="0.35"/>
    <row r="314" ht="12.55" customHeight="1" x14ac:dyDescent="0.35"/>
    <row r="315" ht="12.55" customHeight="1" x14ac:dyDescent="0.35"/>
    <row r="316" ht="12.55" customHeight="1" x14ac:dyDescent="0.35"/>
    <row r="317" ht="12.55" customHeight="1" x14ac:dyDescent="0.35"/>
    <row r="318" ht="12.55" customHeight="1" x14ac:dyDescent="0.35"/>
    <row r="319" ht="12.55" customHeight="1" x14ac:dyDescent="0.35"/>
    <row r="320" ht="12.55" customHeight="1" x14ac:dyDescent="0.35"/>
    <row r="321" ht="12.55" customHeight="1" x14ac:dyDescent="0.35"/>
    <row r="322" ht="12.55" customHeight="1" x14ac:dyDescent="0.35"/>
    <row r="323" ht="12.55" customHeight="1" x14ac:dyDescent="0.35"/>
    <row r="324" ht="12.55" customHeight="1" x14ac:dyDescent="0.35"/>
    <row r="325" ht="12.55" customHeight="1" x14ac:dyDescent="0.35"/>
    <row r="326" ht="12.55" customHeight="1" x14ac:dyDescent="0.35"/>
    <row r="327" ht="12.55" customHeight="1" x14ac:dyDescent="0.35"/>
    <row r="328" ht="12.55" customHeight="1" x14ac:dyDescent="0.35"/>
    <row r="329" ht="12.55" customHeight="1" x14ac:dyDescent="0.35"/>
    <row r="330" ht="12.55" customHeight="1" x14ac:dyDescent="0.35"/>
    <row r="331" ht="12.55" customHeight="1" x14ac:dyDescent="0.35"/>
    <row r="332" ht="12.55" customHeight="1" x14ac:dyDescent="0.35"/>
    <row r="333" ht="12.55" customHeight="1" x14ac:dyDescent="0.35"/>
    <row r="334" ht="12.55" customHeight="1" x14ac:dyDescent="0.35"/>
    <row r="335" ht="12.55" customHeight="1" x14ac:dyDescent="0.35"/>
    <row r="336" ht="12.55" customHeight="1" x14ac:dyDescent="0.35"/>
    <row r="337" ht="12.55" customHeight="1" x14ac:dyDescent="0.35"/>
    <row r="338" ht="12.55" customHeight="1" x14ac:dyDescent="0.35"/>
    <row r="339" ht="12.55" customHeight="1" x14ac:dyDescent="0.35"/>
    <row r="340" ht="12.55" customHeight="1" x14ac:dyDescent="0.35"/>
    <row r="341" ht="12.55" customHeight="1" x14ac:dyDescent="0.35"/>
    <row r="342" ht="12.55" customHeight="1" x14ac:dyDescent="0.35"/>
    <row r="343" ht="12.55" customHeight="1" x14ac:dyDescent="0.35"/>
    <row r="344" ht="12.55" customHeight="1" x14ac:dyDescent="0.35"/>
    <row r="345" ht="12.55" customHeight="1" x14ac:dyDescent="0.35"/>
    <row r="346" ht="12.55" customHeight="1" x14ac:dyDescent="0.35"/>
    <row r="347" ht="12.55" customHeight="1" x14ac:dyDescent="0.35"/>
    <row r="348" ht="12.55" customHeight="1" x14ac:dyDescent="0.35"/>
    <row r="349" ht="12.55" customHeight="1" x14ac:dyDescent="0.35"/>
    <row r="350" ht="12.55" customHeight="1" x14ac:dyDescent="0.35"/>
    <row r="351" ht="12.55" customHeight="1" x14ac:dyDescent="0.35"/>
    <row r="352" ht="12.55" customHeight="1" x14ac:dyDescent="0.35"/>
    <row r="353" ht="12.55" customHeight="1" x14ac:dyDescent="0.35"/>
    <row r="354" ht="12.55" customHeight="1" x14ac:dyDescent="0.35"/>
    <row r="355" ht="12.55" customHeight="1" x14ac:dyDescent="0.35"/>
    <row r="356" ht="12.55" customHeight="1" x14ac:dyDescent="0.35"/>
    <row r="357" ht="12.55" customHeight="1" x14ac:dyDescent="0.35"/>
    <row r="358" ht="12.55" customHeight="1" x14ac:dyDescent="0.35"/>
    <row r="359" ht="12.55" customHeight="1" x14ac:dyDescent="0.35"/>
    <row r="360" ht="12.55" customHeight="1" x14ac:dyDescent="0.35"/>
    <row r="361" ht="12.55" customHeight="1" x14ac:dyDescent="0.35"/>
    <row r="362" ht="12.55" customHeight="1" x14ac:dyDescent="0.35"/>
    <row r="363" ht="12.55" customHeight="1" x14ac:dyDescent="0.35"/>
    <row r="364" ht="12.55" customHeight="1" x14ac:dyDescent="0.35"/>
    <row r="365" ht="12.55" customHeight="1" x14ac:dyDescent="0.35"/>
    <row r="366" ht="12.55" customHeight="1" x14ac:dyDescent="0.35"/>
    <row r="367" ht="12.55" customHeight="1" x14ac:dyDescent="0.35"/>
    <row r="368" ht="12.55" customHeight="1" x14ac:dyDescent="0.35"/>
    <row r="369" ht="12.55" customHeight="1" x14ac:dyDescent="0.35"/>
    <row r="370" ht="12.55" customHeight="1" x14ac:dyDescent="0.35"/>
    <row r="371" ht="12.55" customHeight="1" x14ac:dyDescent="0.35"/>
    <row r="372" ht="12.55" customHeight="1" x14ac:dyDescent="0.35"/>
    <row r="373" ht="12.55" customHeight="1" x14ac:dyDescent="0.35"/>
    <row r="374" ht="12.55" customHeight="1" x14ac:dyDescent="0.35"/>
    <row r="375" ht="12.55" customHeight="1" x14ac:dyDescent="0.35"/>
    <row r="376" ht="12.55" customHeight="1" x14ac:dyDescent="0.35"/>
    <row r="377" ht="12.55" customHeight="1" x14ac:dyDescent="0.35"/>
    <row r="378" ht="12.55" customHeight="1" x14ac:dyDescent="0.35"/>
    <row r="379" ht="12.55" customHeight="1" x14ac:dyDescent="0.35"/>
    <row r="380" ht="12.55" customHeight="1" x14ac:dyDescent="0.35"/>
    <row r="381" ht="12.55" customHeight="1" x14ac:dyDescent="0.35"/>
    <row r="382" ht="12.55" customHeight="1" x14ac:dyDescent="0.35"/>
    <row r="383" ht="12.55" customHeight="1" x14ac:dyDescent="0.35"/>
    <row r="384" ht="12.55" customHeight="1" x14ac:dyDescent="0.35"/>
    <row r="385" ht="12.55" customHeight="1" x14ac:dyDescent="0.35"/>
    <row r="386" ht="12.55" customHeight="1" x14ac:dyDescent="0.35"/>
    <row r="387" ht="12.55" customHeight="1" x14ac:dyDescent="0.35"/>
    <row r="388" ht="12.55" customHeight="1" x14ac:dyDescent="0.35"/>
    <row r="389" ht="12.55" customHeight="1" x14ac:dyDescent="0.35"/>
    <row r="390" ht="12.55" customHeight="1" x14ac:dyDescent="0.35"/>
    <row r="391" ht="12.55" customHeight="1" x14ac:dyDescent="0.35"/>
    <row r="392" ht="12.55" customHeight="1" x14ac:dyDescent="0.35"/>
    <row r="393" ht="12.55" customHeight="1" x14ac:dyDescent="0.35"/>
    <row r="394" ht="12.55" customHeight="1" x14ac:dyDescent="0.35"/>
    <row r="395" ht="12.55" customHeight="1" x14ac:dyDescent="0.35"/>
    <row r="396" ht="12.55" customHeight="1" x14ac:dyDescent="0.35"/>
    <row r="397" ht="12.55" customHeight="1" x14ac:dyDescent="0.35"/>
    <row r="398" ht="12.55" customHeight="1" x14ac:dyDescent="0.35"/>
    <row r="399" ht="12.55" customHeight="1" x14ac:dyDescent="0.35"/>
    <row r="400" ht="12.55" customHeight="1" x14ac:dyDescent="0.35"/>
    <row r="401" ht="12.55" customHeight="1" x14ac:dyDescent="0.35"/>
    <row r="402" ht="12.55" customHeight="1" x14ac:dyDescent="0.35"/>
    <row r="403" ht="12.55" customHeight="1" x14ac:dyDescent="0.35"/>
    <row r="404" ht="12.55" customHeight="1" x14ac:dyDescent="0.35"/>
    <row r="405" ht="12.55" customHeight="1" x14ac:dyDescent="0.35"/>
    <row r="406" ht="12.55" customHeight="1" x14ac:dyDescent="0.35"/>
    <row r="407" ht="12.55" customHeight="1" x14ac:dyDescent="0.35"/>
    <row r="408" ht="12.55" customHeight="1" x14ac:dyDescent="0.35"/>
    <row r="409" ht="12.55" customHeight="1" x14ac:dyDescent="0.35"/>
    <row r="410" ht="12.55" customHeight="1" x14ac:dyDescent="0.35"/>
    <row r="411" ht="12.55" customHeight="1" x14ac:dyDescent="0.35"/>
    <row r="412" ht="12.55" customHeight="1" x14ac:dyDescent="0.35"/>
    <row r="413" ht="12.55" customHeight="1" x14ac:dyDescent="0.35"/>
    <row r="414" ht="12.55" customHeight="1" x14ac:dyDescent="0.35"/>
    <row r="415" ht="12.55" customHeight="1" x14ac:dyDescent="0.35"/>
    <row r="416" ht="12.55" customHeight="1" x14ac:dyDescent="0.35"/>
    <row r="417" ht="12.55" customHeight="1" x14ac:dyDescent="0.35"/>
    <row r="418" ht="12.55" customHeight="1" x14ac:dyDescent="0.35"/>
    <row r="419" ht="12.55" customHeight="1" x14ac:dyDescent="0.35"/>
    <row r="420" ht="12.55" customHeight="1" x14ac:dyDescent="0.35"/>
    <row r="421" ht="12.55" customHeight="1" x14ac:dyDescent="0.35"/>
    <row r="422" ht="12.55" customHeight="1" x14ac:dyDescent="0.35"/>
    <row r="423" ht="12.55" customHeight="1" x14ac:dyDescent="0.35"/>
    <row r="424" ht="12.55" customHeight="1" x14ac:dyDescent="0.35"/>
    <row r="425" ht="12.55" customHeight="1" x14ac:dyDescent="0.35"/>
    <row r="426" ht="12.55" customHeight="1" x14ac:dyDescent="0.35"/>
    <row r="427" ht="12.55" customHeight="1" x14ac:dyDescent="0.35"/>
    <row r="428" ht="12.55" customHeight="1" x14ac:dyDescent="0.35"/>
    <row r="429" ht="12.55" customHeight="1" x14ac:dyDescent="0.35"/>
    <row r="430" ht="12.55" customHeight="1" x14ac:dyDescent="0.35"/>
    <row r="431" ht="12.55" customHeight="1" x14ac:dyDescent="0.35"/>
    <row r="432" ht="12.55" customHeight="1" x14ac:dyDescent="0.35"/>
    <row r="433" ht="12.55" customHeight="1" x14ac:dyDescent="0.35"/>
    <row r="434" ht="12.55" customHeight="1" x14ac:dyDescent="0.35"/>
    <row r="435" ht="12.55" customHeight="1" x14ac:dyDescent="0.35"/>
    <row r="436" ht="12.55" customHeight="1" x14ac:dyDescent="0.35"/>
    <row r="437" ht="12.55" customHeight="1" x14ac:dyDescent="0.35"/>
    <row r="438" ht="12.55" customHeight="1" x14ac:dyDescent="0.35"/>
    <row r="439" ht="12.55" customHeight="1" x14ac:dyDescent="0.35"/>
    <row r="440" ht="12.55" customHeight="1" x14ac:dyDescent="0.35"/>
    <row r="441" ht="12.55" customHeight="1" x14ac:dyDescent="0.35"/>
    <row r="442" ht="12.55" customHeight="1" x14ac:dyDescent="0.35"/>
    <row r="443" ht="12.55" customHeight="1" x14ac:dyDescent="0.35"/>
    <row r="444" ht="12.55" customHeight="1" x14ac:dyDescent="0.35"/>
    <row r="445" ht="12.55" customHeight="1" x14ac:dyDescent="0.35"/>
    <row r="446" ht="12.55" customHeight="1" x14ac:dyDescent="0.35"/>
    <row r="447" ht="12.55" customHeight="1" x14ac:dyDescent="0.35"/>
    <row r="448" ht="12.55" customHeight="1" x14ac:dyDescent="0.35"/>
    <row r="449" ht="12.55" customHeight="1" x14ac:dyDescent="0.35"/>
    <row r="450" ht="12.55" customHeight="1" x14ac:dyDescent="0.35"/>
    <row r="451" ht="12.55" customHeight="1" x14ac:dyDescent="0.35"/>
    <row r="452" ht="12.55" customHeight="1" x14ac:dyDescent="0.35"/>
    <row r="453" ht="12.55" customHeight="1" x14ac:dyDescent="0.35"/>
    <row r="454" ht="12.55" customHeight="1" x14ac:dyDescent="0.35"/>
    <row r="455" ht="12.55" customHeight="1" x14ac:dyDescent="0.35"/>
    <row r="456" ht="12.55" customHeight="1" x14ac:dyDescent="0.35"/>
    <row r="457" ht="12.55" customHeight="1" x14ac:dyDescent="0.35"/>
    <row r="458" ht="12.55" customHeight="1" x14ac:dyDescent="0.35"/>
    <row r="459" ht="12.55" customHeight="1" x14ac:dyDescent="0.35"/>
    <row r="460" ht="12.55" customHeight="1" x14ac:dyDescent="0.35"/>
    <row r="461" ht="12.55" customHeight="1" x14ac:dyDescent="0.35"/>
    <row r="462" ht="12.55" customHeight="1" x14ac:dyDescent="0.35"/>
    <row r="463" ht="12.55" customHeight="1" x14ac:dyDescent="0.35"/>
    <row r="464" ht="12.55" customHeight="1" x14ac:dyDescent="0.35"/>
    <row r="465" ht="12.55" customHeight="1" x14ac:dyDescent="0.35"/>
    <row r="466" ht="12.55" customHeight="1" x14ac:dyDescent="0.35"/>
    <row r="467" ht="12.55" customHeight="1" x14ac:dyDescent="0.35"/>
    <row r="468" ht="12.55" customHeight="1" x14ac:dyDescent="0.35"/>
    <row r="469" ht="12.55" customHeight="1" x14ac:dyDescent="0.35"/>
    <row r="470" ht="12.55" customHeight="1" x14ac:dyDescent="0.35"/>
    <row r="471" ht="12.55" customHeight="1" x14ac:dyDescent="0.35"/>
    <row r="472" ht="12.55" customHeight="1" x14ac:dyDescent="0.35"/>
    <row r="473" ht="12.55" customHeight="1" x14ac:dyDescent="0.35"/>
    <row r="474" ht="12.55" customHeight="1" x14ac:dyDescent="0.35"/>
    <row r="475" ht="12.55" customHeight="1" x14ac:dyDescent="0.35"/>
    <row r="476" ht="12.55" customHeight="1" x14ac:dyDescent="0.35"/>
    <row r="477" ht="12.55" customHeight="1" x14ac:dyDescent="0.35"/>
    <row r="478" ht="12.55" customHeight="1" x14ac:dyDescent="0.35"/>
    <row r="479" ht="12.55" customHeight="1" x14ac:dyDescent="0.35"/>
    <row r="480" ht="12.55" customHeight="1" x14ac:dyDescent="0.35"/>
    <row r="481" ht="12.55" customHeight="1" x14ac:dyDescent="0.35"/>
    <row r="482" ht="12.55" customHeight="1" x14ac:dyDescent="0.35"/>
    <row r="483" ht="12.55" customHeight="1" x14ac:dyDescent="0.35"/>
    <row r="484" ht="12.55" customHeight="1" x14ac:dyDescent="0.35"/>
    <row r="485" ht="12.55" customHeight="1" x14ac:dyDescent="0.35"/>
    <row r="486" ht="12.55" customHeight="1" x14ac:dyDescent="0.35"/>
    <row r="487" ht="12.55" customHeight="1" x14ac:dyDescent="0.35"/>
    <row r="488" ht="12.55" customHeight="1" x14ac:dyDescent="0.35"/>
    <row r="489" ht="12.55" customHeight="1" x14ac:dyDescent="0.35"/>
    <row r="490" ht="12.55" customHeight="1" x14ac:dyDescent="0.35"/>
    <row r="491" ht="12.55" customHeight="1" x14ac:dyDescent="0.35"/>
    <row r="492" ht="12.55" customHeight="1" x14ac:dyDescent="0.35"/>
    <row r="493" ht="12.55" customHeight="1" x14ac:dyDescent="0.35"/>
    <row r="494" ht="12.55" customHeight="1" x14ac:dyDescent="0.35"/>
  </sheetData>
  <sheetProtection algorithmName="SHA-512" hashValue="U5P64GjhIBsSagnDeezsemZI0/moy0/IHnML41HJUa1s/PY9RS57mat/sb/ibdceSS75H+l1JnrZjIWvY4Z4rw==" saltValue="wKS6tsqjIJlNlVF8804nMA==" spinCount="100000" sheet="1" objects="1" scenarios="1"/>
  <phoneticPr fontId="53" type="noConversion"/>
  <conditionalFormatting sqref="B6:N7">
    <cfRule type="expression" dxfId="76" priority="52">
      <formula>MOD(ROW(),2)=0</formula>
    </cfRule>
  </conditionalFormatting>
  <conditionalFormatting sqref="C6">
    <cfRule type="expression" dxfId="75" priority="50">
      <formula>MOD(ROW(),2)=0</formula>
    </cfRule>
  </conditionalFormatting>
  <conditionalFormatting sqref="C7:D7">
    <cfRule type="expression" dxfId="74" priority="51">
      <formula>MOD(ROW(),2)=0</formula>
    </cfRule>
  </conditionalFormatting>
  <conditionalFormatting sqref="B12:N13">
    <cfRule type="expression" dxfId="73" priority="25">
      <formula>MOD(ROW(),2)=0</formula>
    </cfRule>
  </conditionalFormatting>
  <conditionalFormatting sqref="C12:C13">
    <cfRule type="expression" dxfId="72" priority="23">
      <formula>MOD(ROW(),2)=0</formula>
    </cfRule>
  </conditionalFormatting>
  <conditionalFormatting sqref="B18:N19">
    <cfRule type="expression" dxfId="71" priority="22">
      <formula>MOD(ROW(),2)=0</formula>
    </cfRule>
  </conditionalFormatting>
  <conditionalFormatting sqref="C18:C19">
    <cfRule type="expression" dxfId="70" priority="21">
      <formula>MOD(ROW(),2)=0</formula>
    </cfRule>
  </conditionalFormatting>
  <conditionalFormatting sqref="B24:N25">
    <cfRule type="expression" dxfId="69" priority="20">
      <formula>MOD(ROW(),2)=0</formula>
    </cfRule>
  </conditionalFormatting>
  <conditionalFormatting sqref="C24:C25">
    <cfRule type="expression" dxfId="68" priority="19">
      <formula>MOD(ROW(),2)=0</formula>
    </cfRule>
  </conditionalFormatting>
  <conditionalFormatting sqref="B30:N31">
    <cfRule type="expression" dxfId="67" priority="18">
      <formula>MOD(ROW(),2)=0</formula>
    </cfRule>
  </conditionalFormatting>
  <conditionalFormatting sqref="C30:C31">
    <cfRule type="expression" dxfId="66" priority="17">
      <formula>MOD(ROW(),2)=0</formula>
    </cfRule>
  </conditionalFormatting>
  <conditionalFormatting sqref="B36:N37">
    <cfRule type="expression" dxfId="65" priority="16">
      <formula>MOD(ROW(),2)=0</formula>
    </cfRule>
  </conditionalFormatting>
  <conditionalFormatting sqref="C36:C37">
    <cfRule type="expression" dxfId="64" priority="15">
      <formula>MOD(ROW(),2)=0</formula>
    </cfRule>
  </conditionalFormatting>
  <conditionalFormatting sqref="B42:N43">
    <cfRule type="expression" dxfId="63" priority="12">
      <formula>MOD(ROW(),2)=0</formula>
    </cfRule>
  </conditionalFormatting>
  <conditionalFormatting sqref="C42:C43">
    <cfRule type="expression" dxfId="62" priority="11">
      <formula>MOD(ROW(),2)=0</formula>
    </cfRule>
  </conditionalFormatting>
  <conditionalFormatting sqref="B48:N49">
    <cfRule type="expression" dxfId="61" priority="10">
      <formula>MOD(ROW(),2)=0</formula>
    </cfRule>
  </conditionalFormatting>
  <conditionalFormatting sqref="C48:C49">
    <cfRule type="expression" dxfId="60" priority="9">
      <formula>MOD(ROW(),2)=0</formula>
    </cfRule>
  </conditionalFormatting>
  <conditionalFormatting sqref="B54:N54">
    <cfRule type="expression" dxfId="59" priority="8">
      <formula>MOD(ROW(),2)=0</formula>
    </cfRule>
  </conditionalFormatting>
  <conditionalFormatting sqref="C54">
    <cfRule type="expression" dxfId="58" priority="7">
      <formula>MOD(ROW(),2)=0</formula>
    </cfRule>
  </conditionalFormatting>
  <conditionalFormatting sqref="B62:N65">
    <cfRule type="expression" dxfId="57" priority="4">
      <formula>MOD(ROW(),2)=0</formula>
    </cfRule>
  </conditionalFormatting>
  <conditionalFormatting sqref="C62:C65">
    <cfRule type="expression" dxfId="56" priority="3">
      <formula>MOD(ROW(),2)=0</formula>
    </cfRule>
  </conditionalFormatting>
  <conditionalFormatting sqref="B70:N72">
    <cfRule type="expression" dxfId="55" priority="2">
      <formula>MOD(ROW(),2)=0</formula>
    </cfRule>
  </conditionalFormatting>
  <conditionalFormatting sqref="C70:C72">
    <cfRule type="expression" dxfId="54" priority="1">
      <formula>MOD(ROW(),2)=0</formula>
    </cfRule>
  </conditionalFormatting>
  <pageMargins left="0.7" right="0.7" top="0.78740157499999996" bottom="0.78740157499999996" header="0.3" footer="0.3"/>
  <pageSetup paperSize="9" scale="99" orientation="portrait" horizontalDpi="0" verticalDpi="0" r:id="rId1"/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theme="7" tint="-0.249977111117893"/>
  </sheetPr>
  <dimension ref="A1:X205"/>
  <sheetViews>
    <sheetView showGridLines="0" view="pageBreakPreview" zoomScaleNormal="100" zoomScaleSheetLayoutView="100" workbookViewId="0"/>
  </sheetViews>
  <sheetFormatPr baseColWidth="10" defaultColWidth="11.25" defaultRowHeight="18" outlineLevelCol="1" x14ac:dyDescent="0.35"/>
  <cols>
    <col min="1" max="1" width="15.25" style="19" customWidth="1"/>
    <col min="2" max="2" width="8.75" style="17" customWidth="1"/>
    <col min="3" max="3" width="0.75" style="18" customWidth="1"/>
    <col min="4" max="4" width="6.25" style="19" customWidth="1"/>
    <col min="5" max="5" width="7.25" style="19" customWidth="1"/>
    <col min="6" max="6" width="8.75" style="19" customWidth="1"/>
    <col min="7" max="7" width="6.4375" style="19" customWidth="1"/>
    <col min="8" max="8" width="4.75" style="19" customWidth="1"/>
    <col min="9" max="9" width="7.5625" style="341" customWidth="1"/>
    <col min="10" max="10" width="0.75" style="19" customWidth="1"/>
    <col min="11" max="11" width="0.25" style="19" hidden="1" customWidth="1"/>
    <col min="12" max="12" width="3.125" style="19" customWidth="1"/>
    <col min="13" max="13" width="4.75" style="124" customWidth="1"/>
    <col min="14" max="14" width="5.75" style="344" hidden="1" customWidth="1" outlineLevel="1"/>
    <col min="15" max="15" width="4.75" style="125" hidden="1" customWidth="1" outlineLevel="1"/>
    <col min="16" max="16" width="5.75" style="117" hidden="1" customWidth="1" outlineLevel="1"/>
    <col min="17" max="18" width="6.25" style="126" hidden="1" customWidth="1" outlineLevel="1"/>
    <col min="19" max="19" width="13.125" style="19" hidden="1" customWidth="1" outlineLevel="1"/>
    <col min="20" max="20" width="11.25" style="19" hidden="1" customWidth="1" outlineLevel="1"/>
    <col min="21" max="21" width="2.25" style="19" hidden="1" customWidth="1" outlineLevel="1"/>
    <col min="22" max="23" width="11.25" style="19" hidden="1" customWidth="1" outlineLevel="1"/>
    <col min="24" max="24" width="11.25" style="19" collapsed="1"/>
    <col min="25" max="16384" width="11.25" style="19"/>
  </cols>
  <sheetData>
    <row r="1" spans="1:21" ht="6.45" customHeight="1" x14ac:dyDescent="0.35"/>
    <row r="2" spans="1:21" ht="6.45" customHeight="1" x14ac:dyDescent="0.35"/>
    <row r="3" spans="1:21" ht="18.45" thickBot="1" x14ac:dyDescent="0.4">
      <c r="B3" s="17" t="s">
        <v>765</v>
      </c>
      <c r="E3" s="17"/>
      <c r="N3" s="306"/>
      <c r="P3" s="343"/>
      <c r="Q3" s="127"/>
      <c r="R3" s="127"/>
      <c r="S3" s="22"/>
      <c r="T3" s="128"/>
      <c r="U3" s="19">
        <f>(1-T5)*(1+T6)</f>
        <v>0</v>
      </c>
    </row>
    <row r="4" spans="1:21" ht="5.7" customHeight="1" thickBot="1" x14ac:dyDescent="0.4">
      <c r="S4" s="22" t="s">
        <v>40</v>
      </c>
      <c r="T4" s="130">
        <v>0</v>
      </c>
    </row>
    <row r="5" spans="1:21" ht="28.75" thickBot="1" x14ac:dyDescent="0.4">
      <c r="B5" s="178" t="s">
        <v>27</v>
      </c>
      <c r="C5" s="179"/>
      <c r="D5" s="180"/>
      <c r="E5" s="181" t="s">
        <v>110</v>
      </c>
      <c r="F5" s="181" t="s">
        <v>335</v>
      </c>
      <c r="G5" s="181" t="s">
        <v>331</v>
      </c>
      <c r="H5" s="182"/>
      <c r="I5" s="180" t="s">
        <v>768</v>
      </c>
      <c r="J5" s="182"/>
      <c r="K5" s="182"/>
      <c r="L5" s="183"/>
      <c r="M5" s="149" t="s">
        <v>77</v>
      </c>
      <c r="N5" s="184" t="s">
        <v>422</v>
      </c>
      <c r="O5" s="231" t="s">
        <v>30</v>
      </c>
      <c r="P5" s="184" t="s">
        <v>90</v>
      </c>
      <c r="Q5" s="108"/>
      <c r="R5" s="133"/>
      <c r="S5" s="32" t="s">
        <v>30</v>
      </c>
      <c r="T5" s="33">
        <f>Inhaltsverzeichnis!K23</f>
        <v>1</v>
      </c>
    </row>
    <row r="6" spans="1:21" s="26" customFormat="1" ht="12.45" customHeight="1" x14ac:dyDescent="0.35">
      <c r="B6" s="83">
        <v>5010290001</v>
      </c>
      <c r="E6" s="42" t="s">
        <v>235</v>
      </c>
      <c r="F6" s="42" t="s">
        <v>419</v>
      </c>
      <c r="G6" s="42" t="s">
        <v>519</v>
      </c>
      <c r="I6" s="83">
        <v>269001</v>
      </c>
      <c r="K6" s="93"/>
      <c r="L6" s="93"/>
      <c r="M6" s="134">
        <f>($U$3*N6)</f>
        <v>0</v>
      </c>
      <c r="N6" s="318">
        <v>57.46</v>
      </c>
      <c r="O6" s="339">
        <v>0.45</v>
      </c>
      <c r="P6" s="105">
        <f>N6*(100%-O6)</f>
        <v>31.603000000000002</v>
      </c>
      <c r="Q6" s="336"/>
      <c r="R6" s="136"/>
      <c r="S6" s="22" t="s">
        <v>31</v>
      </c>
      <c r="T6" s="340">
        <v>0</v>
      </c>
    </row>
    <row r="7" spans="1:21" s="26" customFormat="1" ht="6.45" customHeight="1" x14ac:dyDescent="0.35">
      <c r="B7" s="83"/>
      <c r="D7" s="42"/>
      <c r="E7" s="42"/>
      <c r="F7" s="42"/>
      <c r="G7" s="42"/>
      <c r="I7" s="39"/>
      <c r="K7" s="93"/>
      <c r="L7" s="93"/>
      <c r="M7" s="131"/>
      <c r="N7" s="318"/>
      <c r="O7" s="132"/>
      <c r="P7" s="105"/>
      <c r="Q7" s="126"/>
      <c r="R7" s="136"/>
      <c r="S7" s="22"/>
      <c r="T7" s="138"/>
    </row>
    <row r="8" spans="1:21" s="26" customFormat="1" ht="6.45" customHeight="1" x14ac:dyDescent="0.35">
      <c r="B8" s="83"/>
      <c r="D8" s="42"/>
      <c r="E8" s="42"/>
      <c r="F8" s="42"/>
      <c r="G8" s="42"/>
      <c r="I8" s="39"/>
      <c r="K8" s="93"/>
      <c r="L8" s="93"/>
      <c r="M8" s="131"/>
      <c r="N8" s="318"/>
      <c r="O8" s="132"/>
      <c r="P8" s="105"/>
      <c r="Q8" s="107"/>
      <c r="R8" s="107"/>
      <c r="S8" s="22"/>
      <c r="T8" s="138"/>
    </row>
    <row r="9" spans="1:21" s="92" customFormat="1" x14ac:dyDescent="0.35">
      <c r="A9" s="19"/>
      <c r="B9" s="17" t="s">
        <v>332</v>
      </c>
      <c r="C9" s="18"/>
      <c r="D9" s="19"/>
      <c r="E9" s="19"/>
      <c r="F9" s="18"/>
      <c r="G9" s="18"/>
      <c r="H9" s="19"/>
      <c r="I9" s="341"/>
      <c r="J9" s="19"/>
      <c r="K9" s="19"/>
      <c r="L9" s="19"/>
      <c r="M9" s="124"/>
      <c r="N9" s="318"/>
      <c r="O9" s="125"/>
      <c r="P9" s="105"/>
      <c r="Q9" s="127"/>
      <c r="R9" s="127"/>
    </row>
    <row r="10" spans="1:21" s="117" customFormat="1" ht="12.45" customHeight="1" x14ac:dyDescent="0.35">
      <c r="A10" s="19"/>
      <c r="B10" s="17"/>
      <c r="C10" s="18"/>
      <c r="D10" s="19"/>
      <c r="E10" s="19"/>
      <c r="F10" s="18"/>
      <c r="G10" s="18"/>
      <c r="H10" s="19"/>
      <c r="I10" s="341"/>
      <c r="J10" s="19"/>
      <c r="K10" s="19"/>
      <c r="L10" s="19"/>
      <c r="M10" s="124"/>
      <c r="N10" s="318"/>
      <c r="O10" s="125"/>
      <c r="P10" s="105"/>
      <c r="Q10" s="126"/>
      <c r="R10" s="126"/>
    </row>
    <row r="11" spans="1:21" s="117" customFormat="1" ht="12.45" customHeight="1" x14ac:dyDescent="0.35">
      <c r="A11" s="19"/>
      <c r="B11" s="26" t="s">
        <v>27</v>
      </c>
      <c r="C11" s="45"/>
      <c r="D11" s="42" t="s">
        <v>334</v>
      </c>
      <c r="E11" s="28" t="s">
        <v>110</v>
      </c>
      <c r="F11" s="28" t="s">
        <v>335</v>
      </c>
      <c r="G11" s="28" t="s">
        <v>331</v>
      </c>
      <c r="H11" s="27"/>
      <c r="I11" s="180" t="s">
        <v>768</v>
      </c>
      <c r="J11" s="27"/>
      <c r="K11" s="27"/>
      <c r="L11" s="23"/>
      <c r="M11" s="131" t="s">
        <v>77</v>
      </c>
      <c r="N11" s="224" t="s">
        <v>422</v>
      </c>
      <c r="O11" s="224" t="s">
        <v>30</v>
      </c>
      <c r="P11" s="224" t="s">
        <v>90</v>
      </c>
      <c r="Q11" s="108"/>
      <c r="R11" s="133"/>
    </row>
    <row r="12" spans="1:21" s="117" customFormat="1" ht="12.45" customHeight="1" x14ac:dyDescent="0.35">
      <c r="A12" s="26"/>
      <c r="B12" s="83">
        <v>5010290002</v>
      </c>
      <c r="C12" s="26"/>
      <c r="D12" s="42" t="s">
        <v>333</v>
      </c>
      <c r="E12" s="42" t="s">
        <v>231</v>
      </c>
      <c r="F12" s="42" t="s">
        <v>419</v>
      </c>
      <c r="G12" s="42" t="s">
        <v>338</v>
      </c>
      <c r="H12" s="26"/>
      <c r="I12" s="83">
        <v>270001</v>
      </c>
      <c r="J12" s="26"/>
      <c r="K12" s="93"/>
      <c r="L12" s="93"/>
      <c r="M12" s="134">
        <f>($U$3*N12)</f>
        <v>0</v>
      </c>
      <c r="N12" s="318">
        <v>50.92</v>
      </c>
      <c r="O12" s="339">
        <f>O6</f>
        <v>0.45</v>
      </c>
      <c r="P12" s="105">
        <f>N12*(100%-O12)</f>
        <v>28.006000000000004</v>
      </c>
      <c r="Q12" s="126"/>
      <c r="R12" s="136"/>
    </row>
    <row r="13" spans="1:21" s="120" customFormat="1" ht="12.45" customHeight="1" x14ac:dyDescent="0.35">
      <c r="B13" s="83">
        <v>5010290003</v>
      </c>
      <c r="C13" s="26"/>
      <c r="D13" s="42" t="s">
        <v>336</v>
      </c>
      <c r="E13" s="42" t="s">
        <v>231</v>
      </c>
      <c r="F13" s="42" t="s">
        <v>419</v>
      </c>
      <c r="G13" s="42" t="s">
        <v>338</v>
      </c>
      <c r="H13" s="26"/>
      <c r="I13" s="83">
        <v>270501</v>
      </c>
      <c r="J13" s="26"/>
      <c r="K13" s="93"/>
      <c r="L13" s="93"/>
      <c r="M13" s="134">
        <f>($U$3*N13)</f>
        <v>0</v>
      </c>
      <c r="N13" s="318">
        <v>50.63</v>
      </c>
      <c r="O13" s="339">
        <f>O6</f>
        <v>0.45</v>
      </c>
      <c r="P13" s="105">
        <f>N13*(100%-O13)</f>
        <v>27.846500000000002</v>
      </c>
      <c r="Q13" s="126"/>
      <c r="R13" s="136"/>
    </row>
    <row r="14" spans="1:21" ht="12.45" customHeight="1" x14ac:dyDescent="0.35">
      <c r="B14" s="83"/>
      <c r="C14" s="26"/>
      <c r="D14" s="42"/>
      <c r="E14" s="42"/>
      <c r="F14" s="42"/>
      <c r="G14" s="42"/>
      <c r="H14" s="26"/>
      <c r="I14" s="39"/>
      <c r="J14" s="26"/>
      <c r="K14" s="93"/>
      <c r="L14" s="93"/>
      <c r="M14" s="131"/>
      <c r="N14" s="318"/>
      <c r="O14" s="132"/>
      <c r="P14" s="105"/>
      <c r="Q14" s="107"/>
      <c r="R14" s="127"/>
    </row>
    <row r="15" spans="1:21" s="92" customFormat="1" x14ac:dyDescent="0.35">
      <c r="A15" s="19"/>
      <c r="B15" s="17" t="s">
        <v>337</v>
      </c>
      <c r="C15" s="18"/>
      <c r="D15" s="19"/>
      <c r="E15" s="19"/>
      <c r="F15" s="18"/>
      <c r="G15" s="18"/>
      <c r="H15" s="19"/>
      <c r="I15" s="341"/>
      <c r="J15" s="19"/>
      <c r="K15" s="19"/>
      <c r="L15" s="19"/>
      <c r="M15" s="124"/>
      <c r="N15" s="318"/>
      <c r="O15" s="125"/>
      <c r="P15" s="105"/>
      <c r="Q15" s="127"/>
      <c r="R15" s="127"/>
    </row>
    <row r="16" spans="1:21" s="117" customFormat="1" ht="12.45" customHeight="1" x14ac:dyDescent="0.35">
      <c r="A16" s="19"/>
      <c r="B16" s="17"/>
      <c r="C16" s="18"/>
      <c r="D16" s="19"/>
      <c r="E16" s="19"/>
      <c r="F16" s="18"/>
      <c r="G16" s="18"/>
      <c r="H16" s="19"/>
      <c r="I16" s="341"/>
      <c r="J16" s="19"/>
      <c r="K16" s="19"/>
      <c r="L16" s="19"/>
      <c r="M16" s="124"/>
      <c r="N16" s="318"/>
      <c r="O16" s="125"/>
      <c r="P16" s="105"/>
      <c r="Q16" s="126"/>
      <c r="R16" s="126"/>
    </row>
    <row r="17" spans="1:18" s="117" customFormat="1" ht="12.45" customHeight="1" x14ac:dyDescent="0.35">
      <c r="A17" s="19"/>
      <c r="B17" s="26" t="s">
        <v>27</v>
      </c>
      <c r="C17" s="45"/>
      <c r="D17" s="42" t="s">
        <v>334</v>
      </c>
      <c r="E17" s="28" t="s">
        <v>110</v>
      </c>
      <c r="F17" s="28" t="s">
        <v>335</v>
      </c>
      <c r="G17" s="28" t="s">
        <v>331</v>
      </c>
      <c r="H17" s="27"/>
      <c r="I17" s="180" t="s">
        <v>768</v>
      </c>
      <c r="J17" s="27"/>
      <c r="K17" s="27"/>
      <c r="L17" s="23"/>
      <c r="M17" s="131" t="s">
        <v>77</v>
      </c>
      <c r="N17" s="224" t="s">
        <v>422</v>
      </c>
      <c r="O17" s="224" t="s">
        <v>30</v>
      </c>
      <c r="P17" s="224" t="s">
        <v>90</v>
      </c>
      <c r="Q17" s="108"/>
      <c r="R17" s="133"/>
    </row>
    <row r="18" spans="1:18" s="117" customFormat="1" ht="12.45" customHeight="1" x14ac:dyDescent="0.35">
      <c r="A18" s="26"/>
      <c r="B18" s="83">
        <v>5010290004</v>
      </c>
      <c r="C18" s="26"/>
      <c r="D18" s="42" t="s">
        <v>333</v>
      </c>
      <c r="E18" s="42" t="s">
        <v>115</v>
      </c>
      <c r="F18" s="42"/>
      <c r="G18" s="42" t="s">
        <v>338</v>
      </c>
      <c r="H18" s="26"/>
      <c r="I18" s="83">
        <v>267501</v>
      </c>
      <c r="J18" s="26"/>
      <c r="K18" s="93"/>
      <c r="L18" s="93"/>
      <c r="M18" s="134">
        <f>($U$3*N18)</f>
        <v>0</v>
      </c>
      <c r="N18" s="318">
        <v>29.07</v>
      </c>
      <c r="O18" s="339">
        <f>O6</f>
        <v>0.45</v>
      </c>
      <c r="P18" s="105">
        <f>N18*(100%-O18)</f>
        <v>15.988500000000002</v>
      </c>
      <c r="Q18" s="126"/>
      <c r="R18" s="136"/>
    </row>
    <row r="19" spans="1:18" s="120" customFormat="1" ht="12.45" customHeight="1" x14ac:dyDescent="0.35">
      <c r="B19" s="83">
        <v>5010290005</v>
      </c>
      <c r="C19" s="26"/>
      <c r="D19" s="42" t="s">
        <v>336</v>
      </c>
      <c r="E19" s="42" t="s">
        <v>115</v>
      </c>
      <c r="F19" s="42" t="s">
        <v>97</v>
      </c>
      <c r="G19" s="42" t="s">
        <v>338</v>
      </c>
      <c r="H19" s="26"/>
      <c r="I19" s="83">
        <v>267601</v>
      </c>
      <c r="J19" s="26"/>
      <c r="K19" s="93"/>
      <c r="L19" s="93"/>
      <c r="M19" s="134">
        <f>($U$3*N19)</f>
        <v>0</v>
      </c>
      <c r="N19" s="318">
        <v>29.07</v>
      </c>
      <c r="O19" s="339">
        <f>O6</f>
        <v>0.45</v>
      </c>
      <c r="P19" s="105">
        <f>N19*(100%-O19)</f>
        <v>15.988500000000002</v>
      </c>
      <c r="Q19" s="126"/>
      <c r="R19" s="136"/>
    </row>
    <row r="20" spans="1:18" ht="12.45" customHeight="1" x14ac:dyDescent="0.35">
      <c r="B20" s="83"/>
      <c r="C20" s="26"/>
      <c r="D20" s="42"/>
      <c r="E20" s="39"/>
      <c r="F20" s="26"/>
      <c r="G20" s="26"/>
      <c r="H20" s="26"/>
      <c r="I20" s="39"/>
      <c r="J20" s="26"/>
      <c r="K20" s="93"/>
      <c r="L20" s="93"/>
      <c r="M20" s="131"/>
      <c r="N20" s="318"/>
      <c r="O20" s="132"/>
      <c r="P20" s="105"/>
      <c r="Q20" s="107"/>
      <c r="R20" s="127"/>
    </row>
    <row r="21" spans="1:18" s="92" customFormat="1" x14ac:dyDescent="0.35">
      <c r="A21" s="19"/>
      <c r="B21" s="17" t="s">
        <v>341</v>
      </c>
      <c r="C21" s="18"/>
      <c r="D21" s="19"/>
      <c r="E21" s="19"/>
      <c r="F21" s="18"/>
      <c r="G21" s="18"/>
      <c r="H21" s="19"/>
      <c r="I21" s="341"/>
      <c r="J21" s="19"/>
      <c r="K21" s="19"/>
      <c r="L21" s="19"/>
      <c r="M21" s="124"/>
      <c r="N21" s="318"/>
      <c r="O21" s="125"/>
      <c r="P21" s="105"/>
      <c r="Q21" s="127"/>
      <c r="R21" s="127"/>
    </row>
    <row r="22" spans="1:18" s="117" customFormat="1" ht="12.45" customHeight="1" x14ac:dyDescent="0.35">
      <c r="A22" s="19"/>
      <c r="B22" s="17"/>
      <c r="C22" s="18"/>
      <c r="D22" s="19"/>
      <c r="E22" s="19"/>
      <c r="F22" s="18"/>
      <c r="G22" s="18"/>
      <c r="H22" s="19"/>
      <c r="I22" s="341"/>
      <c r="J22" s="19"/>
      <c r="K22" s="19"/>
      <c r="L22" s="19"/>
      <c r="M22" s="124"/>
      <c r="N22" s="318"/>
      <c r="O22" s="125"/>
      <c r="P22" s="105"/>
      <c r="Q22" s="126"/>
      <c r="R22" s="126"/>
    </row>
    <row r="23" spans="1:18" s="117" customFormat="1" ht="12.45" customHeight="1" x14ac:dyDescent="0.35">
      <c r="A23" s="19"/>
      <c r="B23" s="26" t="s">
        <v>27</v>
      </c>
      <c r="C23" s="45"/>
      <c r="D23" s="42" t="s">
        <v>334</v>
      </c>
      <c r="E23" s="28" t="s">
        <v>110</v>
      </c>
      <c r="F23" s="28" t="s">
        <v>335</v>
      </c>
      <c r="G23" s="28" t="s">
        <v>331</v>
      </c>
      <c r="H23" s="27"/>
      <c r="I23" s="180" t="s">
        <v>768</v>
      </c>
      <c r="J23" s="27"/>
      <c r="K23" s="27"/>
      <c r="L23" s="23"/>
      <c r="M23" s="149" t="s">
        <v>77</v>
      </c>
      <c r="N23" s="224" t="s">
        <v>422</v>
      </c>
      <c r="O23" s="224" t="s">
        <v>30</v>
      </c>
      <c r="P23" s="224" t="s">
        <v>90</v>
      </c>
      <c r="Q23" s="108"/>
      <c r="R23" s="133"/>
    </row>
    <row r="24" spans="1:18" s="117" customFormat="1" ht="12.45" customHeight="1" x14ac:dyDescent="0.35">
      <c r="A24" s="26"/>
      <c r="B24" s="83">
        <v>5010290007</v>
      </c>
      <c r="C24" s="26"/>
      <c r="D24" s="42"/>
      <c r="E24" s="42" t="s">
        <v>342</v>
      </c>
      <c r="F24" s="42" t="s">
        <v>344</v>
      </c>
      <c r="G24" s="42" t="s">
        <v>343</v>
      </c>
      <c r="H24" s="26"/>
      <c r="I24" s="83">
        <v>280011</v>
      </c>
      <c r="J24" s="26"/>
      <c r="K24" s="93"/>
      <c r="L24" s="93"/>
      <c r="M24" s="134">
        <f>($U$3*N24)</f>
        <v>0</v>
      </c>
      <c r="N24" s="318">
        <v>50.63</v>
      </c>
      <c r="O24" s="339">
        <f>O6</f>
        <v>0.45</v>
      </c>
      <c r="P24" s="105">
        <f>N24*(100%-O24)</f>
        <v>27.846500000000002</v>
      </c>
      <c r="Q24" s="126"/>
      <c r="R24" s="136"/>
    </row>
    <row r="25" spans="1:18" ht="6.45" customHeight="1" x14ac:dyDescent="0.35">
      <c r="B25" s="83"/>
      <c r="C25" s="26"/>
      <c r="D25" s="42"/>
      <c r="E25" s="39"/>
      <c r="F25" s="26"/>
      <c r="G25" s="26"/>
      <c r="H25" s="26"/>
      <c r="I25" s="39"/>
      <c r="J25" s="26"/>
      <c r="K25" s="93"/>
      <c r="L25" s="93"/>
      <c r="M25" s="131"/>
      <c r="N25" s="318"/>
      <c r="O25" s="337"/>
      <c r="P25" s="105"/>
      <c r="Q25" s="107"/>
      <c r="R25" s="127"/>
    </row>
    <row r="26" spans="1:18" ht="6.45" customHeight="1" x14ac:dyDescent="0.35">
      <c r="B26" s="83"/>
      <c r="C26" s="26"/>
      <c r="D26" s="42"/>
      <c r="E26" s="39"/>
      <c r="F26" s="26"/>
      <c r="G26" s="26"/>
      <c r="H26" s="26"/>
      <c r="I26" s="39"/>
      <c r="J26" s="26"/>
      <c r="K26" s="93"/>
      <c r="L26" s="93"/>
      <c r="M26" s="131"/>
      <c r="N26" s="318"/>
      <c r="O26" s="132"/>
      <c r="P26" s="105"/>
      <c r="Q26" s="107"/>
      <c r="R26" s="127"/>
    </row>
    <row r="27" spans="1:18" s="92" customFormat="1" x14ac:dyDescent="0.35">
      <c r="A27" s="19"/>
      <c r="B27" s="17" t="s">
        <v>345</v>
      </c>
      <c r="C27" s="18"/>
      <c r="D27" s="19"/>
      <c r="E27" s="19"/>
      <c r="F27" s="18"/>
      <c r="G27" s="18"/>
      <c r="H27" s="19"/>
      <c r="I27" s="341"/>
      <c r="J27" s="19"/>
      <c r="K27" s="19"/>
      <c r="L27" s="19"/>
      <c r="M27" s="124"/>
      <c r="N27" s="318"/>
      <c r="O27" s="125"/>
      <c r="P27" s="105"/>
      <c r="Q27" s="127"/>
      <c r="R27" s="127"/>
    </row>
    <row r="28" spans="1:18" s="117" customFormat="1" ht="12.45" customHeight="1" x14ac:dyDescent="0.35">
      <c r="A28" s="19"/>
      <c r="B28" s="17"/>
      <c r="C28" s="18"/>
      <c r="D28" s="19"/>
      <c r="E28" s="19"/>
      <c r="F28" s="18"/>
      <c r="G28" s="18"/>
      <c r="H28" s="19"/>
      <c r="I28" s="341"/>
      <c r="J28" s="19"/>
      <c r="K28" s="19"/>
      <c r="L28" s="19"/>
      <c r="M28" s="124"/>
      <c r="N28" s="318"/>
      <c r="O28" s="125"/>
      <c r="P28" s="105"/>
      <c r="Q28" s="126"/>
      <c r="R28" s="126"/>
    </row>
    <row r="29" spans="1:18" s="117" customFormat="1" ht="12.45" customHeight="1" x14ac:dyDescent="0.35">
      <c r="A29" s="19"/>
      <c r="B29" s="26" t="s">
        <v>27</v>
      </c>
      <c r="C29" s="45"/>
      <c r="D29" s="42" t="s">
        <v>334</v>
      </c>
      <c r="E29" s="28" t="s">
        <v>110</v>
      </c>
      <c r="F29" s="28" t="s">
        <v>335</v>
      </c>
      <c r="G29" s="28" t="s">
        <v>331</v>
      </c>
      <c r="H29" s="27"/>
      <c r="I29" s="180" t="s">
        <v>768</v>
      </c>
      <c r="J29" s="27"/>
      <c r="K29" s="27"/>
      <c r="L29" s="23"/>
      <c r="M29" s="149" t="s">
        <v>77</v>
      </c>
      <c r="N29" s="224" t="s">
        <v>422</v>
      </c>
      <c r="O29" s="224" t="s">
        <v>30</v>
      </c>
      <c r="P29" s="224" t="s">
        <v>90</v>
      </c>
      <c r="Q29" s="108"/>
      <c r="R29" s="133"/>
    </row>
    <row r="30" spans="1:18" s="117" customFormat="1" ht="12.45" customHeight="1" x14ac:dyDescent="0.35">
      <c r="A30" s="26"/>
      <c r="B30" s="83">
        <v>5010290008</v>
      </c>
      <c r="C30" s="26"/>
      <c r="D30" s="42"/>
      <c r="E30" s="42" t="s">
        <v>342</v>
      </c>
      <c r="F30" s="42" t="s">
        <v>344</v>
      </c>
      <c r="G30" s="42" t="s">
        <v>346</v>
      </c>
      <c r="H30" s="26"/>
      <c r="I30" s="83">
        <v>281011</v>
      </c>
      <c r="J30" s="26"/>
      <c r="K30" s="93"/>
      <c r="L30" s="93"/>
      <c r="M30" s="134">
        <f>($U$3*N30)</f>
        <v>0</v>
      </c>
      <c r="N30" s="318">
        <v>52.12</v>
      </c>
      <c r="O30" s="339">
        <f>O6</f>
        <v>0.45</v>
      </c>
      <c r="P30" s="105">
        <f>N30*(100%-O30)</f>
        <v>28.666</v>
      </c>
      <c r="Q30" s="126"/>
      <c r="R30" s="136"/>
    </row>
    <row r="31" spans="1:18" ht="6.45" customHeight="1" x14ac:dyDescent="0.35">
      <c r="N31" s="318"/>
      <c r="P31" s="105"/>
      <c r="Q31" s="107"/>
      <c r="R31" s="107"/>
    </row>
    <row r="32" spans="1:18" s="92" customFormat="1" ht="6.45" customHeight="1" x14ac:dyDescent="0.35">
      <c r="A32" s="19"/>
      <c r="B32" s="17"/>
      <c r="C32" s="18"/>
      <c r="D32" s="19"/>
      <c r="E32" s="19"/>
      <c r="F32" s="19"/>
      <c r="G32" s="19"/>
      <c r="H32" s="19"/>
      <c r="I32" s="341"/>
      <c r="J32" s="19"/>
      <c r="K32" s="19"/>
      <c r="L32" s="19"/>
      <c r="M32" s="124"/>
      <c r="N32" s="318"/>
      <c r="O32" s="125"/>
      <c r="P32" s="105"/>
      <c r="Q32" s="127"/>
      <c r="R32" s="127"/>
    </row>
    <row r="33" spans="1:18" s="92" customFormat="1" x14ac:dyDescent="0.35">
      <c r="A33" s="19"/>
      <c r="B33" s="17" t="s">
        <v>771</v>
      </c>
      <c r="C33" s="18"/>
      <c r="D33" s="19"/>
      <c r="E33" s="19"/>
      <c r="F33" s="18"/>
      <c r="G33" s="18"/>
      <c r="H33" s="19"/>
      <c r="I33" s="341"/>
      <c r="J33" s="19"/>
      <c r="K33" s="19"/>
      <c r="L33" s="19"/>
      <c r="M33" s="124"/>
      <c r="N33" s="318"/>
      <c r="O33" s="125"/>
      <c r="P33" s="105"/>
      <c r="Q33" s="127"/>
      <c r="R33" s="127"/>
    </row>
    <row r="34" spans="1:18" s="117" customFormat="1" ht="12.45" customHeight="1" x14ac:dyDescent="0.35">
      <c r="A34" s="19"/>
      <c r="B34" s="17"/>
      <c r="C34" s="18"/>
      <c r="D34" s="19"/>
      <c r="E34" s="19"/>
      <c r="F34" s="18"/>
      <c r="G34" s="18"/>
      <c r="H34" s="19"/>
      <c r="I34" s="341"/>
      <c r="J34" s="19"/>
      <c r="K34" s="19"/>
      <c r="L34" s="19"/>
      <c r="M34" s="124"/>
      <c r="N34" s="318"/>
      <c r="O34" s="125"/>
      <c r="P34" s="105"/>
      <c r="Q34" s="126"/>
      <c r="R34" s="126"/>
    </row>
    <row r="35" spans="1:18" s="117" customFormat="1" ht="12.45" customHeight="1" x14ac:dyDescent="0.35">
      <c r="A35" s="19"/>
      <c r="B35" s="26" t="s">
        <v>27</v>
      </c>
      <c r="C35" s="45"/>
      <c r="D35" s="42" t="s">
        <v>334</v>
      </c>
      <c r="E35" s="28" t="s">
        <v>110</v>
      </c>
      <c r="F35" s="28" t="s">
        <v>335</v>
      </c>
      <c r="G35" s="28" t="s">
        <v>331</v>
      </c>
      <c r="H35" s="27"/>
      <c r="I35" s="180" t="s">
        <v>768</v>
      </c>
      <c r="J35" s="27"/>
      <c r="K35" s="27"/>
      <c r="L35" s="23"/>
      <c r="M35" s="149" t="s">
        <v>77</v>
      </c>
      <c r="N35" s="224" t="s">
        <v>422</v>
      </c>
      <c r="O35" s="224" t="s">
        <v>30</v>
      </c>
      <c r="P35" s="224" t="s">
        <v>90</v>
      </c>
      <c r="Q35" s="108"/>
      <c r="R35" s="133"/>
    </row>
    <row r="36" spans="1:18" s="117" customFormat="1" ht="12.45" customHeight="1" x14ac:dyDescent="0.35">
      <c r="A36" s="26"/>
      <c r="B36" s="83">
        <v>5010290044</v>
      </c>
      <c r="C36" s="26"/>
      <c r="D36" s="42" t="s">
        <v>336</v>
      </c>
      <c r="E36" s="42" t="s">
        <v>115</v>
      </c>
      <c r="F36" s="42"/>
      <c r="G36" s="42"/>
      <c r="H36" s="26"/>
      <c r="I36" s="83">
        <v>267701</v>
      </c>
      <c r="J36" s="26"/>
      <c r="K36" s="93"/>
      <c r="L36" s="93"/>
      <c r="M36" s="134">
        <f>($U$3*N36)</f>
        <v>0</v>
      </c>
      <c r="N36" s="318">
        <v>68.38</v>
      </c>
      <c r="O36" s="339">
        <f>O12</f>
        <v>0.45</v>
      </c>
      <c r="P36" s="105">
        <f>N36*(100%-O36)</f>
        <v>37.609000000000002</v>
      </c>
      <c r="Q36" s="126"/>
      <c r="R36" s="136"/>
    </row>
    <row r="37" spans="1:18" s="117" customFormat="1" ht="12.45" customHeight="1" x14ac:dyDescent="0.35">
      <c r="A37" s="26"/>
      <c r="B37" s="83">
        <v>5010290045</v>
      </c>
      <c r="C37" s="26"/>
      <c r="D37" s="42" t="s">
        <v>333</v>
      </c>
      <c r="E37" s="42" t="s">
        <v>115</v>
      </c>
      <c r="F37" s="42"/>
      <c r="G37" s="42"/>
      <c r="H37" s="26"/>
      <c r="I37" s="83">
        <v>267702</v>
      </c>
      <c r="J37" s="26"/>
      <c r="K37" s="93"/>
      <c r="L37" s="93"/>
      <c r="M37" s="134">
        <f>($U$3*N37)</f>
        <v>0</v>
      </c>
      <c r="N37" s="318">
        <v>68.38</v>
      </c>
      <c r="O37" s="339">
        <f>O13</f>
        <v>0.45</v>
      </c>
      <c r="P37" s="105">
        <f>N37*(100%-O37)</f>
        <v>37.609000000000002</v>
      </c>
      <c r="Q37" s="126"/>
      <c r="R37" s="136"/>
    </row>
    <row r="38" spans="1:18" s="117" customFormat="1" ht="12.45" customHeight="1" x14ac:dyDescent="0.35">
      <c r="A38" s="26"/>
      <c r="B38" s="83"/>
      <c r="C38" s="26"/>
      <c r="D38" s="42"/>
      <c r="E38" s="42"/>
      <c r="F38" s="42"/>
      <c r="G38" s="42"/>
      <c r="H38" s="26"/>
      <c r="I38" s="83"/>
      <c r="J38" s="26"/>
      <c r="K38" s="93"/>
      <c r="L38" s="93"/>
      <c r="M38" s="131"/>
      <c r="N38" s="318"/>
      <c r="O38" s="339"/>
      <c r="P38" s="105"/>
      <c r="Q38" s="126"/>
      <c r="R38" s="136"/>
    </row>
    <row r="39" spans="1:18" s="92" customFormat="1" x14ac:dyDescent="0.35">
      <c r="A39" s="19"/>
      <c r="B39" s="17" t="s">
        <v>339</v>
      </c>
      <c r="C39" s="18"/>
      <c r="D39" s="19"/>
      <c r="E39" s="19"/>
      <c r="F39" s="18"/>
      <c r="G39" s="18"/>
      <c r="H39" s="19"/>
      <c r="I39" s="341"/>
      <c r="J39" s="19"/>
      <c r="K39" s="19"/>
      <c r="L39" s="19"/>
      <c r="M39" s="124"/>
      <c r="N39" s="318"/>
      <c r="O39" s="125"/>
      <c r="P39" s="105"/>
      <c r="Q39" s="127"/>
      <c r="R39" s="127"/>
    </row>
    <row r="40" spans="1:18" s="117" customFormat="1" ht="12.45" customHeight="1" x14ac:dyDescent="0.35">
      <c r="A40" s="19"/>
      <c r="B40" s="17"/>
      <c r="C40" s="18"/>
      <c r="D40" s="19"/>
      <c r="E40" s="19"/>
      <c r="F40" s="18"/>
      <c r="G40" s="18"/>
      <c r="H40" s="19"/>
      <c r="I40" s="341"/>
      <c r="J40" s="19"/>
      <c r="K40" s="19"/>
      <c r="L40" s="19"/>
      <c r="M40" s="124"/>
      <c r="N40" s="318"/>
      <c r="O40" s="125"/>
      <c r="P40" s="105"/>
      <c r="Q40" s="126"/>
      <c r="R40" s="126"/>
    </row>
    <row r="41" spans="1:18" s="117" customFormat="1" ht="12.45" customHeight="1" x14ac:dyDescent="0.35">
      <c r="A41" s="19"/>
      <c r="B41" s="26" t="s">
        <v>27</v>
      </c>
      <c r="C41" s="45"/>
      <c r="D41" s="42" t="s">
        <v>334</v>
      </c>
      <c r="E41" s="28" t="s">
        <v>110</v>
      </c>
      <c r="F41" s="28" t="s">
        <v>335</v>
      </c>
      <c r="G41" s="28" t="s">
        <v>331</v>
      </c>
      <c r="H41" s="27"/>
      <c r="I41" s="180" t="s">
        <v>768</v>
      </c>
      <c r="J41" s="27"/>
      <c r="K41" s="27"/>
      <c r="L41" s="23"/>
      <c r="M41" s="149" t="s">
        <v>77</v>
      </c>
      <c r="N41" s="224" t="s">
        <v>422</v>
      </c>
      <c r="O41" s="224" t="s">
        <v>30</v>
      </c>
      <c r="P41" s="224" t="s">
        <v>90</v>
      </c>
      <c r="Q41" s="108"/>
      <c r="R41" s="133"/>
    </row>
    <row r="42" spans="1:18" s="117" customFormat="1" ht="12.45" customHeight="1" x14ac:dyDescent="0.35">
      <c r="A42" s="26"/>
      <c r="B42" s="83">
        <v>5010290006</v>
      </c>
      <c r="C42" s="26"/>
      <c r="D42" s="42"/>
      <c r="E42" s="42" t="s">
        <v>115</v>
      </c>
      <c r="F42" s="42" t="s">
        <v>340</v>
      </c>
      <c r="G42" s="42" t="s">
        <v>338</v>
      </c>
      <c r="H42" s="26"/>
      <c r="I42" s="83">
        <v>279501</v>
      </c>
      <c r="J42" s="26"/>
      <c r="K42" s="93"/>
      <c r="L42" s="93"/>
      <c r="M42" s="134">
        <f>($U$3*N42)</f>
        <v>0</v>
      </c>
      <c r="N42" s="318">
        <v>49.53</v>
      </c>
      <c r="O42" s="339">
        <f>O6</f>
        <v>0.45</v>
      </c>
      <c r="P42" s="105">
        <f>N42*(100%-O42)</f>
        <v>27.241500000000002</v>
      </c>
      <c r="Q42" s="126"/>
      <c r="R42" s="136"/>
    </row>
    <row r="43" spans="1:18" s="117" customFormat="1" ht="6.45" customHeight="1" x14ac:dyDescent="0.35">
      <c r="A43" s="26"/>
      <c r="B43" s="83"/>
      <c r="C43" s="26"/>
      <c r="D43" s="42"/>
      <c r="E43" s="42"/>
      <c r="F43" s="42"/>
      <c r="G43" s="42"/>
      <c r="H43" s="26"/>
      <c r="I43" s="39"/>
      <c r="J43" s="26"/>
      <c r="K43" s="93"/>
      <c r="L43" s="93"/>
      <c r="M43" s="131"/>
      <c r="N43" s="318"/>
      <c r="O43" s="144"/>
      <c r="P43" s="105"/>
      <c r="Q43" s="126"/>
      <c r="R43" s="136"/>
    </row>
    <row r="44" spans="1:18" s="117" customFormat="1" ht="6.45" customHeight="1" x14ac:dyDescent="0.35">
      <c r="A44" s="26"/>
      <c r="B44" s="83"/>
      <c r="C44" s="26"/>
      <c r="D44" s="42"/>
      <c r="E44" s="42"/>
      <c r="F44" s="42"/>
      <c r="G44" s="42"/>
      <c r="H44" s="26"/>
      <c r="I44" s="39"/>
      <c r="J44" s="26"/>
      <c r="K44" s="93"/>
      <c r="L44" s="93"/>
      <c r="M44" s="131"/>
      <c r="N44" s="318"/>
      <c r="O44" s="144"/>
      <c r="P44" s="105"/>
      <c r="Q44" s="126"/>
      <c r="R44" s="136"/>
    </row>
    <row r="45" spans="1:18" s="92" customFormat="1" x14ac:dyDescent="0.35">
      <c r="A45" s="19"/>
      <c r="B45" s="17" t="s">
        <v>356</v>
      </c>
      <c r="C45" s="18"/>
      <c r="D45" s="19"/>
      <c r="E45" s="19"/>
      <c r="F45" s="18"/>
      <c r="G45" s="18"/>
      <c r="H45" s="19"/>
      <c r="I45" s="341"/>
      <c r="J45" s="19"/>
      <c r="K45" s="19"/>
      <c r="L45" s="19"/>
      <c r="M45" s="124"/>
      <c r="N45" s="318"/>
      <c r="O45" s="125"/>
      <c r="P45" s="105"/>
      <c r="Q45" s="127"/>
      <c r="R45" s="127"/>
    </row>
    <row r="46" spans="1:18" s="117" customFormat="1" ht="12.45" customHeight="1" x14ac:dyDescent="0.35">
      <c r="A46" s="19"/>
      <c r="B46" s="17"/>
      <c r="C46" s="18"/>
      <c r="D46" s="19"/>
      <c r="E46" s="19"/>
      <c r="F46" s="18"/>
      <c r="G46" s="18"/>
      <c r="H46" s="19"/>
      <c r="I46" s="341"/>
      <c r="J46" s="19"/>
      <c r="K46" s="19"/>
      <c r="L46" s="19"/>
      <c r="M46" s="124"/>
      <c r="N46" s="318"/>
      <c r="O46" s="125"/>
      <c r="P46" s="105"/>
      <c r="Q46" s="126"/>
      <c r="R46" s="126"/>
    </row>
    <row r="47" spans="1:18" s="117" customFormat="1" ht="12.45" customHeight="1" x14ac:dyDescent="0.35">
      <c r="A47" s="19"/>
      <c r="B47" s="26" t="s">
        <v>27</v>
      </c>
      <c r="C47" s="45"/>
      <c r="D47" s="42" t="s">
        <v>334</v>
      </c>
      <c r="E47" s="28" t="s">
        <v>147</v>
      </c>
      <c r="F47" s="28" t="s">
        <v>335</v>
      </c>
      <c r="G47" s="28" t="s">
        <v>331</v>
      </c>
      <c r="H47" s="27"/>
      <c r="I47" s="180" t="s">
        <v>768</v>
      </c>
      <c r="J47" s="27"/>
      <c r="K47" s="27"/>
      <c r="L47" s="23"/>
      <c r="M47" s="131" t="s">
        <v>77</v>
      </c>
      <c r="N47" s="224" t="s">
        <v>422</v>
      </c>
      <c r="O47" s="224" t="s">
        <v>30</v>
      </c>
      <c r="P47" s="224" t="s">
        <v>90</v>
      </c>
      <c r="Q47" s="108"/>
      <c r="R47" s="133"/>
    </row>
    <row r="48" spans="1:18" s="117" customFormat="1" ht="12.45" customHeight="1" x14ac:dyDescent="0.35">
      <c r="A48" s="26"/>
      <c r="B48" s="83">
        <v>5010290009</v>
      </c>
      <c r="C48" s="26"/>
      <c r="D48" s="42" t="s">
        <v>354</v>
      </c>
      <c r="E48" s="42" t="s">
        <v>347</v>
      </c>
      <c r="F48" s="42" t="s">
        <v>348</v>
      </c>
      <c r="G48" s="42" t="s">
        <v>349</v>
      </c>
      <c r="H48" s="26"/>
      <c r="I48" s="83">
        <v>282001</v>
      </c>
      <c r="J48" s="26"/>
      <c r="K48" s="93"/>
      <c r="L48" s="93"/>
      <c r="M48" s="134">
        <f>($U$3*N48)</f>
        <v>0</v>
      </c>
      <c r="N48" s="318">
        <v>79.16</v>
      </c>
      <c r="O48" s="339">
        <f>$O$6</f>
        <v>0.45</v>
      </c>
      <c r="P48" s="105">
        <f>N48*(100%-O48)</f>
        <v>43.538000000000004</v>
      </c>
      <c r="Q48" s="126"/>
      <c r="R48" s="136"/>
    </row>
    <row r="49" spans="1:18" ht="12.45" customHeight="1" x14ac:dyDescent="0.35">
      <c r="B49" s="83">
        <v>5010290010</v>
      </c>
      <c r="C49" s="26"/>
      <c r="D49" s="42" t="s">
        <v>354</v>
      </c>
      <c r="E49" s="42" t="s">
        <v>350</v>
      </c>
      <c r="F49" s="42" t="s">
        <v>348</v>
      </c>
      <c r="G49" s="42" t="s">
        <v>351</v>
      </c>
      <c r="H49" s="26"/>
      <c r="I49" s="83">
        <v>282004</v>
      </c>
      <c r="J49" s="26"/>
      <c r="K49" s="93"/>
      <c r="L49" s="93"/>
      <c r="M49" s="134">
        <f>($U$3*N49)</f>
        <v>0</v>
      </c>
      <c r="N49" s="318">
        <v>81.08</v>
      </c>
      <c r="O49" s="339">
        <f t="shared" ref="O49:O62" si="0">$O$6</f>
        <v>0.45</v>
      </c>
      <c r="P49" s="105">
        <f>N49*(100%-O49)</f>
        <v>44.594000000000001</v>
      </c>
      <c r="R49" s="127"/>
    </row>
    <row r="50" spans="1:18" ht="12.45" customHeight="1" x14ac:dyDescent="0.35">
      <c r="B50" s="83">
        <v>5010290011</v>
      </c>
      <c r="C50" s="26"/>
      <c r="D50" s="42" t="s">
        <v>354</v>
      </c>
      <c r="E50" s="42" t="s">
        <v>348</v>
      </c>
      <c r="F50" s="42" t="s">
        <v>348</v>
      </c>
      <c r="G50" s="42" t="s">
        <v>352</v>
      </c>
      <c r="H50" s="26"/>
      <c r="I50" s="83">
        <v>282002</v>
      </c>
      <c r="J50" s="26"/>
      <c r="K50" s="93"/>
      <c r="L50" s="93"/>
      <c r="M50" s="134">
        <f>($U$3*N50)</f>
        <v>0</v>
      </c>
      <c r="N50" s="318">
        <v>81.08</v>
      </c>
      <c r="O50" s="339">
        <f t="shared" si="0"/>
        <v>0.45</v>
      </c>
      <c r="P50" s="105">
        <f>N50*(100%-O50)</f>
        <v>44.594000000000001</v>
      </c>
      <c r="R50" s="107"/>
    </row>
    <row r="51" spans="1:18" ht="12.45" customHeight="1" x14ac:dyDescent="0.35">
      <c r="B51" s="83">
        <v>5010290012</v>
      </c>
      <c r="C51" s="26"/>
      <c r="D51" s="42" t="s">
        <v>354</v>
      </c>
      <c r="E51" s="42" t="s">
        <v>122</v>
      </c>
      <c r="F51" s="42" t="s">
        <v>348</v>
      </c>
      <c r="G51" s="42" t="s">
        <v>353</v>
      </c>
      <c r="H51" s="26"/>
      <c r="I51" s="83">
        <v>282003</v>
      </c>
      <c r="J51" s="26"/>
      <c r="K51" s="93"/>
      <c r="L51" s="93"/>
      <c r="M51" s="134">
        <f t="shared" ref="M51:M62" si="1">($U$3*N51)</f>
        <v>0</v>
      </c>
      <c r="N51" s="318">
        <v>103.87</v>
      </c>
      <c r="O51" s="339">
        <f t="shared" si="0"/>
        <v>0.45</v>
      </c>
      <c r="P51" s="105">
        <f>N51*(100%-O51)</f>
        <v>57.12850000000001</v>
      </c>
      <c r="R51" s="107"/>
    </row>
    <row r="52" spans="1:18" ht="6.45" customHeight="1" x14ac:dyDescent="0.35">
      <c r="B52" s="83"/>
      <c r="C52" s="26"/>
      <c r="D52" s="42"/>
      <c r="E52" s="42"/>
      <c r="F52" s="42"/>
      <c r="G52" s="42"/>
      <c r="H52" s="26"/>
      <c r="I52" s="39"/>
      <c r="J52" s="26"/>
      <c r="K52" s="93"/>
      <c r="L52" s="93"/>
      <c r="M52" s="131"/>
      <c r="N52" s="318"/>
      <c r="O52" s="339"/>
      <c r="P52" s="105"/>
      <c r="R52" s="107"/>
    </row>
    <row r="53" spans="1:18" ht="6.45" customHeight="1" x14ac:dyDescent="0.35">
      <c r="B53" s="83"/>
      <c r="C53" s="26"/>
      <c r="D53" s="42"/>
      <c r="E53" s="42"/>
      <c r="F53" s="42"/>
      <c r="G53" s="42"/>
      <c r="H53" s="26"/>
      <c r="I53" s="39"/>
      <c r="J53" s="26"/>
      <c r="K53" s="93"/>
      <c r="L53" s="93"/>
      <c r="M53" s="131"/>
      <c r="N53" s="318"/>
      <c r="O53" s="339"/>
      <c r="P53" s="105"/>
      <c r="Q53" s="107"/>
      <c r="R53" s="107"/>
    </row>
    <row r="54" spans="1:18" s="92" customFormat="1" ht="12.45" customHeight="1" x14ac:dyDescent="0.35">
      <c r="A54" s="19"/>
      <c r="B54" s="83">
        <v>5010290013</v>
      </c>
      <c r="C54" s="26"/>
      <c r="D54" s="42" t="s">
        <v>355</v>
      </c>
      <c r="E54" s="42" t="s">
        <v>347</v>
      </c>
      <c r="F54" s="42" t="s">
        <v>357</v>
      </c>
      <c r="G54" s="42" t="s">
        <v>349</v>
      </c>
      <c r="H54" s="26"/>
      <c r="I54" s="83">
        <v>282101</v>
      </c>
      <c r="J54" s="26"/>
      <c r="K54" s="93"/>
      <c r="L54" s="93"/>
      <c r="M54" s="134">
        <f t="shared" si="1"/>
        <v>0</v>
      </c>
      <c r="N54" s="318">
        <v>79.16</v>
      </c>
      <c r="O54" s="339">
        <f t="shared" si="0"/>
        <v>0.45</v>
      </c>
      <c r="P54" s="105">
        <f>N54*(100%-O54)</f>
        <v>43.538000000000004</v>
      </c>
      <c r="Q54" s="126"/>
      <c r="R54" s="127"/>
    </row>
    <row r="55" spans="1:18" s="117" customFormat="1" ht="12.45" customHeight="1" x14ac:dyDescent="0.35">
      <c r="A55" s="19"/>
      <c r="B55" s="83">
        <v>5010290014</v>
      </c>
      <c r="C55" s="26"/>
      <c r="D55" s="42" t="s">
        <v>355</v>
      </c>
      <c r="E55" s="42" t="s">
        <v>350</v>
      </c>
      <c r="F55" s="42" t="s">
        <v>357</v>
      </c>
      <c r="G55" s="42" t="s">
        <v>351</v>
      </c>
      <c r="H55" s="26"/>
      <c r="I55" s="83">
        <v>282104</v>
      </c>
      <c r="J55" s="26"/>
      <c r="K55" s="93"/>
      <c r="L55" s="93"/>
      <c r="M55" s="134">
        <f t="shared" si="1"/>
        <v>0</v>
      </c>
      <c r="N55" s="318">
        <v>81.209999999999994</v>
      </c>
      <c r="O55" s="339">
        <f t="shared" si="0"/>
        <v>0.45</v>
      </c>
      <c r="P55" s="105">
        <f>N55*(100%-O55)</f>
        <v>44.665500000000002</v>
      </c>
      <c r="Q55" s="126"/>
      <c r="R55" s="107"/>
    </row>
    <row r="56" spans="1:18" s="117" customFormat="1" ht="12.45" customHeight="1" x14ac:dyDescent="0.35">
      <c r="A56" s="19"/>
      <c r="B56" s="83">
        <v>5010290015</v>
      </c>
      <c r="C56" s="26"/>
      <c r="D56" s="42" t="s">
        <v>355</v>
      </c>
      <c r="E56" s="42" t="s">
        <v>348</v>
      </c>
      <c r="F56" s="42" t="s">
        <v>357</v>
      </c>
      <c r="G56" s="42" t="s">
        <v>352</v>
      </c>
      <c r="H56" s="26"/>
      <c r="I56" s="83">
        <v>282102</v>
      </c>
      <c r="J56" s="26"/>
      <c r="K56" s="93"/>
      <c r="L56" s="93"/>
      <c r="M56" s="134">
        <f t="shared" si="1"/>
        <v>0</v>
      </c>
      <c r="N56" s="318">
        <v>81.209999999999994</v>
      </c>
      <c r="O56" s="339">
        <f t="shared" si="0"/>
        <v>0.45</v>
      </c>
      <c r="P56" s="105">
        <f>N56*(100%-O56)</f>
        <v>44.665500000000002</v>
      </c>
      <c r="Q56" s="126"/>
      <c r="R56" s="140"/>
    </row>
    <row r="57" spans="1:18" s="117" customFormat="1" ht="12.45" customHeight="1" x14ac:dyDescent="0.35">
      <c r="A57" s="26"/>
      <c r="B57" s="83">
        <v>5010290016</v>
      </c>
      <c r="C57" s="26"/>
      <c r="D57" s="42" t="s">
        <v>355</v>
      </c>
      <c r="E57" s="42" t="s">
        <v>122</v>
      </c>
      <c r="F57" s="42" t="s">
        <v>348</v>
      </c>
      <c r="G57" s="42" t="s">
        <v>353</v>
      </c>
      <c r="H57" s="26"/>
      <c r="I57" s="83">
        <v>282103</v>
      </c>
      <c r="J57" s="26"/>
      <c r="K57" s="93"/>
      <c r="L57" s="93"/>
      <c r="M57" s="134">
        <f t="shared" si="1"/>
        <v>0</v>
      </c>
      <c r="N57" s="318">
        <v>110.69</v>
      </c>
      <c r="O57" s="339">
        <f t="shared" si="0"/>
        <v>0.45</v>
      </c>
      <c r="P57" s="105">
        <f>N57*(100%-O57)</f>
        <v>60.8795</v>
      </c>
      <c r="Q57" s="126"/>
      <c r="R57" s="127"/>
    </row>
    <row r="58" spans="1:18" s="117" customFormat="1" ht="6.45" customHeight="1" x14ac:dyDescent="0.35">
      <c r="A58" s="26"/>
      <c r="B58" s="83"/>
      <c r="C58" s="26"/>
      <c r="D58" s="42"/>
      <c r="E58" s="42"/>
      <c r="F58" s="42"/>
      <c r="G58" s="42"/>
      <c r="H58" s="26"/>
      <c r="I58" s="39"/>
      <c r="J58" s="26"/>
      <c r="K58" s="93"/>
      <c r="L58" s="93"/>
      <c r="M58" s="131"/>
      <c r="N58" s="318"/>
      <c r="O58" s="339"/>
      <c r="P58" s="105"/>
      <c r="Q58" s="126"/>
      <c r="R58" s="127"/>
    </row>
    <row r="59" spans="1:18" s="117" customFormat="1" ht="6.45" customHeight="1" x14ac:dyDescent="0.35">
      <c r="A59" s="26"/>
      <c r="B59" s="83"/>
      <c r="C59" s="26"/>
      <c r="D59" s="42"/>
      <c r="E59" s="42"/>
      <c r="F59" s="42"/>
      <c r="G59" s="42"/>
      <c r="H59" s="26"/>
      <c r="I59" s="39"/>
      <c r="J59" s="26"/>
      <c r="K59" s="93"/>
      <c r="L59" s="93"/>
      <c r="M59" s="131"/>
      <c r="N59" s="318"/>
      <c r="O59" s="339"/>
      <c r="P59" s="105"/>
      <c r="Q59" s="107"/>
      <c r="R59" s="127"/>
    </row>
    <row r="60" spans="1:18" s="120" customFormat="1" ht="12.45" customHeight="1" x14ac:dyDescent="0.35">
      <c r="B60" s="83">
        <v>5010290017</v>
      </c>
      <c r="C60" s="26"/>
      <c r="D60" s="42" t="s">
        <v>358</v>
      </c>
      <c r="E60" s="42" t="s">
        <v>347</v>
      </c>
      <c r="F60" s="42" t="s">
        <v>357</v>
      </c>
      <c r="G60" s="42" t="s">
        <v>359</v>
      </c>
      <c r="H60" s="26"/>
      <c r="I60" s="83">
        <v>282218</v>
      </c>
      <c r="J60" s="26"/>
      <c r="K60" s="93"/>
      <c r="L60" s="93"/>
      <c r="M60" s="134">
        <f t="shared" si="1"/>
        <v>0</v>
      </c>
      <c r="N60" s="318">
        <v>90.98</v>
      </c>
      <c r="O60" s="339">
        <f t="shared" si="0"/>
        <v>0.45</v>
      </c>
      <c r="P60" s="105">
        <f>N60*(100%-O60)</f>
        <v>50.039000000000009</v>
      </c>
      <c r="Q60" s="126"/>
      <c r="R60" s="127"/>
    </row>
    <row r="61" spans="1:18" s="120" customFormat="1" ht="12.45" customHeight="1" x14ac:dyDescent="0.35">
      <c r="B61" s="83"/>
      <c r="C61" s="26"/>
      <c r="D61" s="42"/>
      <c r="E61" s="42"/>
      <c r="F61" s="42"/>
      <c r="G61" s="42"/>
      <c r="H61" s="26"/>
      <c r="I61" s="39"/>
      <c r="J61" s="26"/>
      <c r="K61" s="93"/>
      <c r="L61" s="93"/>
      <c r="M61" s="131"/>
      <c r="N61" s="318"/>
      <c r="O61" s="339"/>
      <c r="P61" s="105"/>
      <c r="Q61" s="126"/>
      <c r="R61" s="127"/>
    </row>
    <row r="62" spans="1:18" s="120" customFormat="1" ht="12.45" customHeight="1" x14ac:dyDescent="0.35">
      <c r="B62" s="83">
        <v>5010290021</v>
      </c>
      <c r="C62" s="26"/>
      <c r="D62" s="42" t="s">
        <v>355</v>
      </c>
      <c r="E62" s="42" t="s">
        <v>348</v>
      </c>
      <c r="F62" s="42" t="s">
        <v>377</v>
      </c>
      <c r="G62" s="42" t="s">
        <v>410</v>
      </c>
      <c r="H62" s="26"/>
      <c r="I62" s="83" t="s">
        <v>769</v>
      </c>
      <c r="J62" s="26"/>
      <c r="K62" s="93"/>
      <c r="L62" s="93"/>
      <c r="M62" s="134">
        <f t="shared" si="1"/>
        <v>0</v>
      </c>
      <c r="N62" s="318">
        <v>109.16</v>
      </c>
      <c r="O62" s="339">
        <f t="shared" si="0"/>
        <v>0.45</v>
      </c>
      <c r="P62" s="105">
        <f>N62*(100%-O62)</f>
        <v>60.038000000000004</v>
      </c>
      <c r="Q62" s="126"/>
      <c r="R62" s="127"/>
    </row>
    <row r="63" spans="1:18" s="120" customFormat="1" ht="12.45" customHeight="1" x14ac:dyDescent="0.35">
      <c r="B63" s="83"/>
      <c r="C63" s="26"/>
      <c r="D63" s="42"/>
      <c r="E63" s="42"/>
      <c r="F63" s="42"/>
      <c r="G63" s="42"/>
      <c r="H63" s="26"/>
      <c r="I63" s="39"/>
      <c r="J63" s="26"/>
      <c r="K63" s="93"/>
      <c r="L63" s="93"/>
      <c r="M63" s="131"/>
      <c r="N63" s="318"/>
      <c r="O63" s="132"/>
      <c r="P63" s="105"/>
      <c r="Q63" s="126"/>
      <c r="R63" s="127"/>
    </row>
    <row r="64" spans="1:18" s="120" customFormat="1" ht="12.45" customHeight="1" x14ac:dyDescent="0.35">
      <c r="B64" s="83"/>
      <c r="C64" s="26"/>
      <c r="D64" s="42"/>
      <c r="E64" s="42"/>
      <c r="F64" s="42"/>
      <c r="G64" s="42"/>
      <c r="H64" s="26"/>
      <c r="I64" s="39"/>
      <c r="J64" s="26"/>
      <c r="K64" s="93"/>
      <c r="L64" s="93"/>
      <c r="M64" s="131"/>
      <c r="N64" s="318"/>
      <c r="O64" s="132"/>
      <c r="P64" s="105"/>
      <c r="Q64" s="126"/>
      <c r="R64" s="127"/>
    </row>
    <row r="65" spans="1:18" s="92" customFormat="1" x14ac:dyDescent="0.35">
      <c r="A65" s="19"/>
      <c r="B65" s="17" t="s">
        <v>362</v>
      </c>
      <c r="C65" s="18"/>
      <c r="D65" s="19"/>
      <c r="E65" s="19"/>
      <c r="F65" s="18"/>
      <c r="G65" s="18"/>
      <c r="H65" s="19"/>
      <c r="I65" s="341"/>
      <c r="J65" s="19"/>
      <c r="K65" s="19"/>
      <c r="L65" s="19"/>
      <c r="M65" s="124"/>
      <c r="N65" s="318"/>
      <c r="O65" s="125"/>
      <c r="P65" s="105"/>
      <c r="Q65" s="127"/>
      <c r="R65" s="127"/>
    </row>
    <row r="66" spans="1:18" s="117" customFormat="1" ht="12.45" customHeight="1" x14ac:dyDescent="0.35">
      <c r="A66" s="19"/>
      <c r="B66" s="17"/>
      <c r="C66" s="18"/>
      <c r="D66" s="19"/>
      <c r="E66" s="19"/>
      <c r="F66" s="18"/>
      <c r="G66" s="18"/>
      <c r="H66" s="19"/>
      <c r="I66" s="341"/>
      <c r="J66" s="19"/>
      <c r="K66" s="19"/>
      <c r="L66" s="19"/>
      <c r="M66" s="124"/>
      <c r="N66" s="318"/>
      <c r="O66" s="125"/>
      <c r="P66" s="105"/>
      <c r="Q66" s="126"/>
      <c r="R66" s="126"/>
    </row>
    <row r="67" spans="1:18" s="117" customFormat="1" ht="12.45" customHeight="1" x14ac:dyDescent="0.35">
      <c r="A67" s="19"/>
      <c r="B67" s="26" t="s">
        <v>27</v>
      </c>
      <c r="C67" s="45"/>
      <c r="D67" s="42" t="s">
        <v>334</v>
      </c>
      <c r="E67" s="28" t="s">
        <v>110</v>
      </c>
      <c r="F67" s="28" t="s">
        <v>335</v>
      </c>
      <c r="G67" s="28" t="s">
        <v>331</v>
      </c>
      <c r="H67" s="27"/>
      <c r="I67" s="180" t="s">
        <v>768</v>
      </c>
      <c r="J67" s="27"/>
      <c r="K67" s="27"/>
      <c r="L67" s="23"/>
      <c r="M67" s="149" t="s">
        <v>77</v>
      </c>
      <c r="N67" s="224" t="s">
        <v>422</v>
      </c>
      <c r="O67" s="224" t="s">
        <v>30</v>
      </c>
      <c r="P67" s="224" t="s">
        <v>90</v>
      </c>
      <c r="Q67" s="108"/>
      <c r="R67" s="133"/>
    </row>
    <row r="68" spans="1:18" s="117" customFormat="1" ht="12.45" customHeight="1" x14ac:dyDescent="0.35">
      <c r="A68" s="26"/>
      <c r="B68" s="83">
        <v>5010290019</v>
      </c>
      <c r="C68" s="26"/>
      <c r="D68" s="42" t="s">
        <v>354</v>
      </c>
      <c r="E68" s="42" t="s">
        <v>363</v>
      </c>
      <c r="F68" s="42" t="s">
        <v>271</v>
      </c>
      <c r="G68" s="42" t="s">
        <v>364</v>
      </c>
      <c r="H68" s="26"/>
      <c r="I68" s="83">
        <v>282901</v>
      </c>
      <c r="J68" s="26"/>
      <c r="K68" s="93"/>
      <c r="L68" s="93"/>
      <c r="M68" s="134">
        <f>($U$3*N68)</f>
        <v>0</v>
      </c>
      <c r="N68" s="318">
        <v>40.39</v>
      </c>
      <c r="O68" s="338">
        <f>O6</f>
        <v>0.45</v>
      </c>
      <c r="P68" s="105">
        <f>N68*(100%-O68)</f>
        <v>22.214500000000001</v>
      </c>
      <c r="Q68" s="126"/>
      <c r="R68" s="136"/>
    </row>
    <row r="69" spans="1:18" s="117" customFormat="1" ht="12.45" customHeight="1" x14ac:dyDescent="0.35">
      <c r="A69" s="26"/>
      <c r="B69" s="83"/>
      <c r="C69" s="26"/>
      <c r="D69" s="42"/>
      <c r="E69" s="42"/>
      <c r="F69" s="42"/>
      <c r="G69" s="42"/>
      <c r="H69" s="26"/>
      <c r="I69" s="39"/>
      <c r="J69" s="26"/>
      <c r="K69" s="93"/>
      <c r="L69" s="93"/>
      <c r="M69" s="149"/>
      <c r="N69" s="318"/>
      <c r="O69" s="337"/>
      <c r="P69" s="105"/>
      <c r="Q69" s="107"/>
      <c r="R69" s="127"/>
    </row>
    <row r="70" spans="1:18" s="117" customFormat="1" ht="12.45" customHeight="1" x14ac:dyDescent="0.35">
      <c r="A70" s="26"/>
      <c r="B70" s="83">
        <v>5010290020</v>
      </c>
      <c r="C70" s="26"/>
      <c r="D70" s="42" t="s">
        <v>355</v>
      </c>
      <c r="E70" s="42" t="s">
        <v>366</v>
      </c>
      <c r="F70" s="42" t="s">
        <v>365</v>
      </c>
      <c r="G70" s="42" t="s">
        <v>364</v>
      </c>
      <c r="H70" s="26"/>
      <c r="I70" s="83">
        <v>283001</v>
      </c>
      <c r="J70" s="26"/>
      <c r="K70" s="93"/>
      <c r="L70" s="93"/>
      <c r="M70" s="134">
        <f>($U$3*N70)</f>
        <v>0</v>
      </c>
      <c r="N70" s="318">
        <v>43.19</v>
      </c>
      <c r="O70" s="339">
        <f>O6</f>
        <v>0.45</v>
      </c>
      <c r="P70" s="105">
        <f>N70*(100%-O70)</f>
        <v>23.7545</v>
      </c>
      <c r="Q70" s="126"/>
      <c r="R70" s="136"/>
    </row>
    <row r="71" spans="1:18" s="117" customFormat="1" ht="7.2" customHeight="1" x14ac:dyDescent="0.35">
      <c r="A71" s="26"/>
      <c r="B71" s="83"/>
      <c r="C71" s="26"/>
      <c r="D71" s="42"/>
      <c r="E71" s="42"/>
      <c r="F71" s="42"/>
      <c r="G71" s="42"/>
      <c r="H71" s="26"/>
      <c r="I71" s="39"/>
      <c r="J71" s="26"/>
      <c r="K71" s="93"/>
      <c r="L71" s="93"/>
      <c r="M71" s="131"/>
      <c r="N71" s="318"/>
      <c r="O71" s="132"/>
      <c r="P71" s="105"/>
      <c r="Q71" s="126"/>
      <c r="R71" s="136"/>
    </row>
    <row r="72" spans="1:18" ht="13.95" customHeight="1" x14ac:dyDescent="0.35">
      <c r="B72" s="83"/>
      <c r="C72" s="26"/>
      <c r="D72" s="42"/>
      <c r="E72" s="39"/>
      <c r="F72" s="26"/>
      <c r="G72" s="26"/>
      <c r="H72" s="26"/>
      <c r="I72" s="39"/>
      <c r="J72" s="26"/>
      <c r="K72" s="93"/>
      <c r="L72" s="93"/>
      <c r="M72" s="131"/>
      <c r="N72" s="318"/>
      <c r="O72" s="132"/>
      <c r="P72" s="105"/>
      <c r="Q72" s="107"/>
      <c r="R72" s="127"/>
    </row>
    <row r="73" spans="1:18" s="92" customFormat="1" x14ac:dyDescent="0.35">
      <c r="A73" s="19"/>
      <c r="B73" s="17" t="s">
        <v>360</v>
      </c>
      <c r="C73" s="18"/>
      <c r="D73" s="19"/>
      <c r="E73" s="19"/>
      <c r="F73" s="18"/>
      <c r="G73" s="18"/>
      <c r="H73" s="19"/>
      <c r="I73" s="341"/>
      <c r="J73" s="19"/>
      <c r="K73" s="19"/>
      <c r="L73" s="19"/>
      <c r="M73" s="124"/>
      <c r="N73" s="318"/>
      <c r="O73" s="125"/>
      <c r="P73" s="105"/>
      <c r="Q73" s="127"/>
      <c r="R73" s="127"/>
    </row>
    <row r="74" spans="1:18" s="117" customFormat="1" ht="12.45" customHeight="1" x14ac:dyDescent="0.35">
      <c r="A74" s="19"/>
      <c r="B74" s="17"/>
      <c r="C74" s="18"/>
      <c r="D74" s="19"/>
      <c r="E74" s="19"/>
      <c r="F74" s="18"/>
      <c r="G74" s="18"/>
      <c r="H74" s="19"/>
      <c r="I74" s="341"/>
      <c r="J74" s="19"/>
      <c r="K74" s="19"/>
      <c r="L74" s="19"/>
      <c r="M74" s="124"/>
      <c r="N74" s="318"/>
      <c r="O74" s="125"/>
      <c r="P74" s="105"/>
      <c r="Q74" s="126"/>
      <c r="R74" s="126"/>
    </row>
    <row r="75" spans="1:18" s="117" customFormat="1" ht="12.45" customHeight="1" x14ac:dyDescent="0.35">
      <c r="A75" s="19"/>
      <c r="B75" s="26" t="s">
        <v>27</v>
      </c>
      <c r="C75" s="45"/>
      <c r="D75" s="42" t="s">
        <v>334</v>
      </c>
      <c r="E75" s="28" t="s">
        <v>147</v>
      </c>
      <c r="F75" s="28" t="s">
        <v>335</v>
      </c>
      <c r="G75" s="28" t="s">
        <v>331</v>
      </c>
      <c r="H75" s="27"/>
      <c r="I75" s="180" t="s">
        <v>768</v>
      </c>
      <c r="J75" s="27"/>
      <c r="K75" s="27"/>
      <c r="L75" s="23"/>
      <c r="M75" s="149" t="s">
        <v>77</v>
      </c>
      <c r="N75" s="224" t="s">
        <v>422</v>
      </c>
      <c r="O75" s="224" t="s">
        <v>30</v>
      </c>
      <c r="P75" s="224" t="s">
        <v>90</v>
      </c>
      <c r="Q75" s="108"/>
      <c r="R75" s="133"/>
    </row>
    <row r="76" spans="1:18" s="117" customFormat="1" ht="12.45" customHeight="1" x14ac:dyDescent="0.35">
      <c r="A76" s="26"/>
      <c r="B76" s="83">
        <v>5010290018</v>
      </c>
      <c r="C76" s="26"/>
      <c r="D76" s="42" t="s">
        <v>354</v>
      </c>
      <c r="E76" s="42" t="s">
        <v>122</v>
      </c>
      <c r="F76" s="42" t="s">
        <v>122</v>
      </c>
      <c r="G76" s="42" t="s">
        <v>361</v>
      </c>
      <c r="H76" s="26"/>
      <c r="I76" s="83">
        <v>282801</v>
      </c>
      <c r="J76" s="26"/>
      <c r="K76" s="93"/>
      <c r="L76" s="93"/>
      <c r="M76" s="134">
        <f>($U$3*N76)</f>
        <v>0</v>
      </c>
      <c r="N76" s="318">
        <v>105.75</v>
      </c>
      <c r="O76" s="338">
        <f>O6</f>
        <v>0.45</v>
      </c>
      <c r="P76" s="105">
        <f>N76*(100%-O76)</f>
        <v>58.162500000000001</v>
      </c>
      <c r="Q76" s="126"/>
      <c r="R76" s="136"/>
    </row>
    <row r="77" spans="1:18" s="117" customFormat="1" ht="6.45" customHeight="1" x14ac:dyDescent="0.35">
      <c r="A77" s="19"/>
      <c r="B77" s="26"/>
      <c r="C77" s="45"/>
      <c r="D77" s="39"/>
      <c r="E77" s="28"/>
      <c r="F77" s="27"/>
      <c r="G77" s="27"/>
      <c r="H77" s="27"/>
      <c r="I77" s="27"/>
      <c r="J77" s="27"/>
      <c r="K77" s="27"/>
      <c r="L77" s="23"/>
      <c r="M77" s="131"/>
      <c r="N77" s="318"/>
      <c r="O77" s="132"/>
      <c r="P77" s="105"/>
      <c r="Q77" s="232"/>
      <c r="R77" s="140"/>
    </row>
    <row r="78" spans="1:18" s="117" customFormat="1" ht="11.15" customHeight="1" x14ac:dyDescent="0.35">
      <c r="A78" s="26"/>
      <c r="B78" s="83"/>
      <c r="C78" s="26"/>
      <c r="D78" s="42"/>
      <c r="E78" s="39"/>
      <c r="F78" s="26"/>
      <c r="G78" s="26"/>
      <c r="H78" s="26"/>
      <c r="I78" s="39"/>
      <c r="J78" s="26"/>
      <c r="K78" s="93"/>
      <c r="L78" s="93"/>
      <c r="M78" s="131"/>
      <c r="N78" s="318"/>
      <c r="O78" s="132"/>
      <c r="P78" s="105"/>
      <c r="Q78" s="107"/>
      <c r="R78" s="127"/>
    </row>
    <row r="79" spans="1:18" s="92" customFormat="1" x14ac:dyDescent="0.35">
      <c r="A79" s="19"/>
      <c r="B79" s="17" t="s">
        <v>367</v>
      </c>
      <c r="C79" s="18"/>
      <c r="D79" s="19"/>
      <c r="E79" s="19"/>
      <c r="F79" s="18"/>
      <c r="G79" s="18"/>
      <c r="H79" s="19"/>
      <c r="I79" s="341"/>
      <c r="J79" s="19"/>
      <c r="K79" s="19"/>
      <c r="L79" s="19"/>
      <c r="M79" s="124"/>
      <c r="N79" s="318"/>
      <c r="O79" s="125"/>
      <c r="P79" s="105"/>
      <c r="Q79" s="127"/>
      <c r="R79" s="127"/>
    </row>
    <row r="80" spans="1:18" s="117" customFormat="1" ht="12.45" customHeight="1" x14ac:dyDescent="0.35">
      <c r="A80" s="19"/>
      <c r="B80" s="17"/>
      <c r="C80" s="18"/>
      <c r="D80" s="19"/>
      <c r="E80" s="19"/>
      <c r="F80" s="18"/>
      <c r="G80" s="18"/>
      <c r="H80" s="19"/>
      <c r="I80" s="341"/>
      <c r="J80" s="19"/>
      <c r="K80" s="19"/>
      <c r="L80" s="19"/>
      <c r="M80" s="124"/>
      <c r="N80" s="318"/>
      <c r="O80" s="125"/>
      <c r="P80" s="105"/>
      <c r="Q80" s="126"/>
      <c r="R80" s="126"/>
    </row>
    <row r="81" spans="1:18" s="117" customFormat="1" ht="12.45" customHeight="1" x14ac:dyDescent="0.35">
      <c r="A81" s="19"/>
      <c r="B81" s="26" t="s">
        <v>27</v>
      </c>
      <c r="C81" s="45"/>
      <c r="D81" s="42" t="s">
        <v>334</v>
      </c>
      <c r="E81" s="28" t="s">
        <v>147</v>
      </c>
      <c r="F81" s="28" t="s">
        <v>335</v>
      </c>
      <c r="G81" s="28" t="s">
        <v>331</v>
      </c>
      <c r="H81" s="27"/>
      <c r="I81" s="180" t="s">
        <v>768</v>
      </c>
      <c r="J81" s="27"/>
      <c r="K81" s="27"/>
      <c r="L81" s="23"/>
      <c r="M81" s="149" t="s">
        <v>77</v>
      </c>
      <c r="N81" s="224" t="s">
        <v>422</v>
      </c>
      <c r="O81" s="224" t="s">
        <v>30</v>
      </c>
      <c r="P81" s="224" t="s">
        <v>90</v>
      </c>
      <c r="Q81" s="108"/>
      <c r="R81" s="133"/>
    </row>
    <row r="82" spans="1:18" s="117" customFormat="1" ht="12.45" customHeight="1" x14ac:dyDescent="0.35">
      <c r="A82" s="26"/>
      <c r="B82" s="83">
        <v>5010290022</v>
      </c>
      <c r="C82" s="26"/>
      <c r="D82" s="42"/>
      <c r="E82" s="42" t="s">
        <v>368</v>
      </c>
      <c r="F82" s="42" t="s">
        <v>146</v>
      </c>
      <c r="G82" s="42" t="s">
        <v>369</v>
      </c>
      <c r="H82" s="26"/>
      <c r="I82" s="83">
        <v>282701</v>
      </c>
      <c r="J82" s="26"/>
      <c r="K82" s="93"/>
      <c r="L82" s="93"/>
      <c r="M82" s="134">
        <f>($U$3*N82)</f>
        <v>0</v>
      </c>
      <c r="N82" s="318">
        <v>61.7</v>
      </c>
      <c r="O82" s="338">
        <f>$O$6</f>
        <v>0.45</v>
      </c>
      <c r="P82" s="105">
        <f>N82*(100%-O82)</f>
        <v>33.935000000000002</v>
      </c>
      <c r="Q82" s="126"/>
      <c r="R82" s="136"/>
    </row>
    <row r="83" spans="1:18" s="92" customFormat="1" ht="6.45" customHeight="1" x14ac:dyDescent="0.35">
      <c r="A83" s="19"/>
      <c r="B83" s="17"/>
      <c r="C83" s="18"/>
      <c r="D83" s="19"/>
      <c r="E83" s="19"/>
      <c r="F83" s="19"/>
      <c r="G83" s="19"/>
      <c r="H83" s="19"/>
      <c r="I83" s="341"/>
      <c r="J83" s="42"/>
      <c r="K83" s="19"/>
      <c r="L83" s="19"/>
      <c r="M83" s="131"/>
      <c r="N83" s="318"/>
      <c r="O83" s="125"/>
      <c r="P83" s="105"/>
      <c r="Q83" s="127"/>
      <c r="R83" s="127"/>
    </row>
    <row r="84" spans="1:18" s="117" customFormat="1" ht="6.45" customHeight="1" x14ac:dyDescent="0.35">
      <c r="A84" s="19"/>
      <c r="B84" s="17"/>
      <c r="C84" s="18"/>
      <c r="D84" s="19"/>
      <c r="E84" s="19"/>
      <c r="F84" s="19"/>
      <c r="G84" s="19"/>
      <c r="H84" s="19"/>
      <c r="I84" s="341"/>
      <c r="J84" s="19"/>
      <c r="K84" s="19"/>
      <c r="L84" s="19"/>
      <c r="M84" s="124"/>
      <c r="N84" s="318"/>
      <c r="O84" s="125"/>
      <c r="P84" s="105"/>
      <c r="Q84" s="107"/>
      <c r="R84" s="107"/>
    </row>
    <row r="85" spans="1:18" s="92" customFormat="1" x14ac:dyDescent="0.35">
      <c r="A85" s="19"/>
      <c r="B85" s="17" t="s">
        <v>726</v>
      </c>
      <c r="C85" s="18"/>
      <c r="D85" s="19"/>
      <c r="E85" s="19"/>
      <c r="F85" s="18"/>
      <c r="G85" s="18"/>
      <c r="H85" s="19"/>
      <c r="I85" s="341"/>
      <c r="J85" s="19"/>
      <c r="K85" s="19"/>
      <c r="L85" s="19"/>
      <c r="M85" s="124"/>
      <c r="N85" s="318"/>
      <c r="O85" s="125"/>
      <c r="P85" s="105"/>
      <c r="Q85" s="127"/>
      <c r="R85" s="127"/>
    </row>
    <row r="86" spans="1:18" s="117" customFormat="1" ht="12.45" customHeight="1" x14ac:dyDescent="0.35">
      <c r="A86" s="19"/>
      <c r="B86" s="17"/>
      <c r="C86" s="18"/>
      <c r="D86" s="19"/>
      <c r="E86" s="19"/>
      <c r="F86" s="18"/>
      <c r="G86" s="18"/>
      <c r="H86" s="19"/>
      <c r="I86" s="341"/>
      <c r="J86" s="19"/>
      <c r="K86" s="19"/>
      <c r="L86" s="19"/>
      <c r="M86" s="124"/>
      <c r="N86" s="318"/>
      <c r="O86" s="125"/>
      <c r="P86" s="105"/>
      <c r="Q86" s="126"/>
      <c r="R86" s="126"/>
    </row>
    <row r="87" spans="1:18" s="117" customFormat="1" ht="12.45" customHeight="1" x14ac:dyDescent="0.35">
      <c r="A87" s="19"/>
      <c r="B87" s="26" t="s">
        <v>27</v>
      </c>
      <c r="C87" s="45"/>
      <c r="D87" s="42" t="s">
        <v>334</v>
      </c>
      <c r="E87" s="28" t="s">
        <v>147</v>
      </c>
      <c r="F87" s="28" t="s">
        <v>335</v>
      </c>
      <c r="G87" s="28" t="s">
        <v>331</v>
      </c>
      <c r="H87" s="27"/>
      <c r="I87" s="180" t="s">
        <v>768</v>
      </c>
      <c r="J87" s="27"/>
      <c r="K87" s="27"/>
      <c r="L87" s="23"/>
      <c r="M87" s="149" t="s">
        <v>77</v>
      </c>
      <c r="N87" s="224" t="s">
        <v>422</v>
      </c>
      <c r="O87" s="224" t="s">
        <v>30</v>
      </c>
      <c r="P87" s="224" t="s">
        <v>90</v>
      </c>
      <c r="Q87" s="108"/>
      <c r="R87" s="133"/>
    </row>
    <row r="88" spans="1:18" s="117" customFormat="1" ht="12.45" customHeight="1" x14ac:dyDescent="0.35">
      <c r="A88" s="26"/>
      <c r="B88" s="83">
        <v>5010290023</v>
      </c>
      <c r="C88" s="26"/>
      <c r="D88" s="42" t="s">
        <v>354</v>
      </c>
      <c r="E88" s="42" t="s">
        <v>371</v>
      </c>
      <c r="F88" s="42" t="s">
        <v>370</v>
      </c>
      <c r="G88" s="42" t="s">
        <v>372</v>
      </c>
      <c r="H88" s="26"/>
      <c r="I88" s="83">
        <v>282326</v>
      </c>
      <c r="J88" s="26"/>
      <c r="K88" s="93"/>
      <c r="L88" s="93"/>
      <c r="M88" s="134">
        <f>($U$3*N88)</f>
        <v>0</v>
      </c>
      <c r="N88" s="318">
        <v>223.15</v>
      </c>
      <c r="O88" s="339">
        <f>O6</f>
        <v>0.45</v>
      </c>
      <c r="P88" s="105">
        <f>N88*(100%-O88)</f>
        <v>122.73250000000002</v>
      </c>
      <c r="Q88" s="126"/>
      <c r="R88" s="136"/>
    </row>
    <row r="89" spans="1:18" ht="6.45" customHeight="1" x14ac:dyDescent="0.35">
      <c r="N89" s="318"/>
      <c r="P89" s="105"/>
      <c r="Q89" s="107"/>
      <c r="R89" s="107"/>
    </row>
    <row r="90" spans="1:18" ht="6.45" customHeight="1" x14ac:dyDescent="0.35">
      <c r="N90" s="318"/>
      <c r="P90" s="105"/>
      <c r="Q90" s="107"/>
      <c r="R90" s="107"/>
    </row>
    <row r="91" spans="1:18" s="92" customFormat="1" x14ac:dyDescent="0.35">
      <c r="A91" s="19"/>
      <c r="B91" s="17" t="s">
        <v>373</v>
      </c>
      <c r="C91" s="18"/>
      <c r="D91" s="19"/>
      <c r="E91" s="19"/>
      <c r="F91" s="18"/>
      <c r="G91" s="18"/>
      <c r="H91" s="19"/>
      <c r="I91" s="341"/>
      <c r="J91" s="19"/>
      <c r="K91" s="19"/>
      <c r="L91" s="19"/>
      <c r="M91" s="124"/>
      <c r="N91" s="318"/>
      <c r="O91" s="125"/>
      <c r="P91" s="105"/>
      <c r="Q91" s="127"/>
      <c r="R91" s="127"/>
    </row>
    <row r="92" spans="1:18" s="117" customFormat="1" ht="12.45" customHeight="1" x14ac:dyDescent="0.35">
      <c r="A92" s="19"/>
      <c r="B92" s="17"/>
      <c r="C92" s="18"/>
      <c r="D92" s="19"/>
      <c r="E92" s="19"/>
      <c r="F92" s="18"/>
      <c r="G92" s="18"/>
      <c r="H92" s="19"/>
      <c r="I92" s="341"/>
      <c r="J92" s="19"/>
      <c r="K92" s="19"/>
      <c r="L92" s="19"/>
      <c r="M92" s="124"/>
      <c r="N92" s="318"/>
      <c r="O92" s="125"/>
      <c r="P92" s="105"/>
      <c r="Q92" s="126"/>
      <c r="R92" s="126"/>
    </row>
    <row r="93" spans="1:18" s="117" customFormat="1" ht="12.45" customHeight="1" x14ac:dyDescent="0.35">
      <c r="A93" s="19"/>
      <c r="B93" s="26" t="s">
        <v>27</v>
      </c>
      <c r="C93" s="45"/>
      <c r="D93" s="42" t="s">
        <v>334</v>
      </c>
      <c r="E93" s="28" t="s">
        <v>147</v>
      </c>
      <c r="F93" s="28" t="s">
        <v>335</v>
      </c>
      <c r="G93" s="28" t="s">
        <v>331</v>
      </c>
      <c r="H93" s="27"/>
      <c r="I93" s="180" t="s">
        <v>768</v>
      </c>
      <c r="J93" s="27"/>
      <c r="K93" s="27"/>
      <c r="L93" s="23"/>
      <c r="M93" s="149" t="s">
        <v>77</v>
      </c>
      <c r="N93" s="224" t="s">
        <v>422</v>
      </c>
      <c r="O93" s="224" t="s">
        <v>30</v>
      </c>
      <c r="P93" s="224" t="s">
        <v>90</v>
      </c>
      <c r="Q93" s="108"/>
      <c r="R93" s="133"/>
    </row>
    <row r="94" spans="1:18" s="117" customFormat="1" ht="12.45" customHeight="1" x14ac:dyDescent="0.35">
      <c r="A94" s="26"/>
      <c r="B94" s="83">
        <v>5010290024</v>
      </c>
      <c r="C94" s="26"/>
      <c r="D94" s="42" t="s">
        <v>354</v>
      </c>
      <c r="E94" s="42" t="s">
        <v>374</v>
      </c>
      <c r="F94" s="42"/>
      <c r="G94" s="42" t="s">
        <v>375</v>
      </c>
      <c r="H94" s="26"/>
      <c r="I94" s="83">
        <v>278001</v>
      </c>
      <c r="J94" s="26"/>
      <c r="K94" s="93"/>
      <c r="L94" s="93"/>
      <c r="M94" s="134">
        <f>($U$3*N94)</f>
        <v>0</v>
      </c>
      <c r="N94" s="318">
        <v>139.9</v>
      </c>
      <c r="O94" s="339">
        <f>O6</f>
        <v>0.45</v>
      </c>
      <c r="P94" s="105">
        <f>N94*(100%-O94)</f>
        <v>76.945000000000007</v>
      </c>
      <c r="Q94" s="126"/>
      <c r="R94" s="136"/>
    </row>
    <row r="95" spans="1:18" s="120" customFormat="1" ht="12.45" customHeight="1" x14ac:dyDescent="0.35">
      <c r="B95" s="83">
        <v>5010290025</v>
      </c>
      <c r="C95" s="26"/>
      <c r="D95" s="42" t="s">
        <v>354</v>
      </c>
      <c r="E95" s="42" t="s">
        <v>113</v>
      </c>
      <c r="F95" s="42"/>
      <c r="G95" s="42" t="s">
        <v>376</v>
      </c>
      <c r="H95" s="26"/>
      <c r="I95" s="83">
        <v>278002</v>
      </c>
      <c r="J95" s="26"/>
      <c r="K95" s="93"/>
      <c r="L95" s="93"/>
      <c r="M95" s="134">
        <f>($U$3*N95)</f>
        <v>0</v>
      </c>
      <c r="N95" s="318">
        <v>139.19</v>
      </c>
      <c r="O95" s="339">
        <f>O6</f>
        <v>0.45</v>
      </c>
      <c r="P95" s="105">
        <f>N95*(100%-O95)</f>
        <v>76.554500000000004</v>
      </c>
      <c r="Q95" s="126"/>
      <c r="R95" s="127"/>
    </row>
    <row r="96" spans="1:18" ht="12.45" customHeight="1" x14ac:dyDescent="0.35">
      <c r="B96" s="83"/>
      <c r="C96" s="26"/>
      <c r="D96" s="39"/>
      <c r="E96" s="39"/>
      <c r="F96" s="26"/>
      <c r="G96" s="26"/>
      <c r="H96" s="26"/>
      <c r="I96" s="39"/>
      <c r="J96" s="26"/>
      <c r="K96" s="93"/>
      <c r="L96" s="93"/>
      <c r="M96" s="131"/>
      <c r="N96" s="318"/>
      <c r="O96" s="132"/>
      <c r="P96" s="105"/>
      <c r="Q96" s="107"/>
      <c r="R96" s="127"/>
    </row>
    <row r="97" spans="1:18" s="92" customFormat="1" x14ac:dyDescent="0.35">
      <c r="A97" s="19"/>
      <c r="B97" s="17" t="s">
        <v>727</v>
      </c>
      <c r="C97" s="18"/>
      <c r="D97" s="19"/>
      <c r="E97" s="19"/>
      <c r="F97" s="18"/>
      <c r="G97" s="18"/>
      <c r="H97" s="19"/>
      <c r="I97" s="341"/>
      <c r="J97" s="19"/>
      <c r="K97" s="19"/>
      <c r="L97" s="19"/>
      <c r="M97" s="124"/>
      <c r="N97" s="318"/>
      <c r="O97" s="125"/>
      <c r="P97" s="105"/>
      <c r="Q97" s="127"/>
      <c r="R97" s="127"/>
    </row>
    <row r="98" spans="1:18" s="117" customFormat="1" ht="12.45" customHeight="1" x14ac:dyDescent="0.35">
      <c r="A98" s="19"/>
      <c r="B98" s="17"/>
      <c r="C98" s="18"/>
      <c r="D98" s="19"/>
      <c r="E98" s="19"/>
      <c r="F98" s="18"/>
      <c r="G98" s="18"/>
      <c r="H98" s="19"/>
      <c r="I98" s="341"/>
      <c r="J98" s="19"/>
      <c r="K98" s="19"/>
      <c r="L98" s="19"/>
      <c r="M98" s="124"/>
      <c r="N98" s="318"/>
      <c r="O98" s="125"/>
      <c r="P98" s="105"/>
      <c r="Q98" s="126"/>
      <c r="R98" s="126"/>
    </row>
    <row r="99" spans="1:18" s="117" customFormat="1" ht="12.45" customHeight="1" x14ac:dyDescent="0.35">
      <c r="A99" s="19"/>
      <c r="B99" s="26" t="s">
        <v>27</v>
      </c>
      <c r="C99" s="45"/>
      <c r="D99" s="42" t="s">
        <v>334</v>
      </c>
      <c r="E99" s="28" t="s">
        <v>147</v>
      </c>
      <c r="F99" s="28" t="s">
        <v>335</v>
      </c>
      <c r="G99" s="28" t="s">
        <v>331</v>
      </c>
      <c r="H99" s="27"/>
      <c r="I99" s="180" t="s">
        <v>768</v>
      </c>
      <c r="J99" s="27"/>
      <c r="K99" s="27"/>
      <c r="L99" s="23"/>
      <c r="M99" s="149" t="s">
        <v>77</v>
      </c>
      <c r="N99" s="224" t="s">
        <v>422</v>
      </c>
      <c r="O99" s="224" t="s">
        <v>30</v>
      </c>
      <c r="P99" s="224" t="s">
        <v>90</v>
      </c>
      <c r="Q99" s="108"/>
      <c r="R99" s="133"/>
    </row>
    <row r="100" spans="1:18" s="117" customFormat="1" ht="12.45" customHeight="1" x14ac:dyDescent="0.35">
      <c r="A100" s="26"/>
      <c r="B100" s="83">
        <v>5010290026</v>
      </c>
      <c r="C100" s="26"/>
      <c r="D100" s="42"/>
      <c r="E100" s="42" t="s">
        <v>114</v>
      </c>
      <c r="F100" s="42" t="s">
        <v>377</v>
      </c>
      <c r="G100" s="42" t="s">
        <v>378</v>
      </c>
      <c r="H100" s="26"/>
      <c r="I100" s="83" t="s">
        <v>770</v>
      </c>
      <c r="J100" s="26"/>
      <c r="K100" s="93"/>
      <c r="L100" s="93"/>
      <c r="M100" s="134">
        <f>($U$3*N100)</f>
        <v>0</v>
      </c>
      <c r="N100" s="318">
        <v>332.56</v>
      </c>
      <c r="O100" s="339">
        <f>O6</f>
        <v>0.45</v>
      </c>
      <c r="P100" s="105">
        <f>N100*(100%-O100)</f>
        <v>182.90800000000002</v>
      </c>
      <c r="Q100" s="126"/>
      <c r="R100" s="136"/>
    </row>
    <row r="101" spans="1:18" s="117" customFormat="1" ht="6.45" customHeight="1" x14ac:dyDescent="0.35">
      <c r="A101" s="19"/>
      <c r="B101" s="26"/>
      <c r="C101" s="45"/>
      <c r="D101" s="39"/>
      <c r="E101" s="27"/>
      <c r="F101" s="27"/>
      <c r="G101" s="27"/>
      <c r="H101" s="27"/>
      <c r="I101" s="27"/>
      <c r="J101" s="27"/>
      <c r="K101" s="27"/>
      <c r="L101" s="23"/>
      <c r="M101" s="131"/>
      <c r="N101" s="318"/>
      <c r="O101" s="132"/>
      <c r="P101" s="105"/>
      <c r="Q101" s="232"/>
      <c r="R101" s="140"/>
    </row>
    <row r="102" spans="1:18" s="117" customFormat="1" ht="6.45" customHeight="1" x14ac:dyDescent="0.35">
      <c r="A102" s="26"/>
      <c r="B102" s="83"/>
      <c r="C102" s="26"/>
      <c r="D102" s="39"/>
      <c r="E102" s="39"/>
      <c r="F102" s="26"/>
      <c r="G102" s="26"/>
      <c r="H102" s="26"/>
      <c r="I102" s="39"/>
      <c r="J102" s="26"/>
      <c r="K102" s="93"/>
      <c r="L102" s="93"/>
      <c r="M102" s="131"/>
      <c r="N102" s="318"/>
      <c r="O102" s="132"/>
      <c r="P102" s="105"/>
      <c r="Q102" s="107"/>
      <c r="R102" s="127"/>
    </row>
    <row r="103" spans="1:18" s="92" customFormat="1" x14ac:dyDescent="0.35">
      <c r="A103" s="19"/>
      <c r="B103" s="17" t="s">
        <v>379</v>
      </c>
      <c r="C103" s="18"/>
      <c r="D103" s="19"/>
      <c r="E103" s="19"/>
      <c r="F103" s="18"/>
      <c r="G103" s="18"/>
      <c r="H103" s="19"/>
      <c r="I103" s="341"/>
      <c r="J103" s="19"/>
      <c r="K103" s="19"/>
      <c r="L103" s="19"/>
      <c r="M103" s="124"/>
      <c r="N103" s="318"/>
      <c r="O103" s="125"/>
      <c r="P103" s="105"/>
      <c r="Q103" s="127"/>
      <c r="R103" s="127"/>
    </row>
    <row r="104" spans="1:18" s="117" customFormat="1" ht="12.45" customHeight="1" x14ac:dyDescent="0.35">
      <c r="A104" s="19"/>
      <c r="B104" s="17"/>
      <c r="C104" s="18"/>
      <c r="D104" s="19"/>
      <c r="E104" s="19"/>
      <c r="F104" s="18"/>
      <c r="G104" s="18"/>
      <c r="H104" s="19"/>
      <c r="I104" s="341"/>
      <c r="J104" s="19"/>
      <c r="K104" s="19"/>
      <c r="L104" s="19"/>
      <c r="M104" s="124"/>
      <c r="N104" s="318"/>
      <c r="O104" s="125"/>
      <c r="P104" s="105"/>
      <c r="Q104" s="126"/>
      <c r="R104" s="126"/>
    </row>
    <row r="105" spans="1:18" s="117" customFormat="1" ht="12.45" customHeight="1" x14ac:dyDescent="0.35">
      <c r="A105" s="19"/>
      <c r="B105" s="26" t="s">
        <v>27</v>
      </c>
      <c r="C105" s="45"/>
      <c r="D105" s="42" t="s">
        <v>334</v>
      </c>
      <c r="E105" s="28" t="s">
        <v>147</v>
      </c>
      <c r="F105" s="28" t="s">
        <v>335</v>
      </c>
      <c r="G105" s="28" t="s">
        <v>331</v>
      </c>
      <c r="H105" s="27"/>
      <c r="I105" s="180" t="s">
        <v>768</v>
      </c>
      <c r="J105" s="27"/>
      <c r="K105" s="27"/>
      <c r="L105" s="23"/>
      <c r="M105" s="149" t="s">
        <v>77</v>
      </c>
      <c r="N105" s="224" t="s">
        <v>422</v>
      </c>
      <c r="O105" s="224" t="s">
        <v>30</v>
      </c>
      <c r="P105" s="224" t="s">
        <v>90</v>
      </c>
      <c r="Q105" s="108"/>
      <c r="R105" s="133"/>
    </row>
    <row r="106" spans="1:18" s="117" customFormat="1" ht="12.45" customHeight="1" x14ac:dyDescent="0.35">
      <c r="A106" s="26"/>
      <c r="B106" s="83">
        <v>5010290027</v>
      </c>
      <c r="C106" s="26"/>
      <c r="D106" s="42"/>
      <c r="E106" s="42" t="s">
        <v>114</v>
      </c>
      <c r="F106" s="42"/>
      <c r="G106" s="42" t="s">
        <v>380</v>
      </c>
      <c r="H106" s="26"/>
      <c r="I106" s="83">
        <v>282414</v>
      </c>
      <c r="J106" s="26"/>
      <c r="K106" s="93"/>
      <c r="L106" s="93"/>
      <c r="M106" s="134">
        <f>($U$3*N106)</f>
        <v>0</v>
      </c>
      <c r="N106" s="318">
        <v>237.47</v>
      </c>
      <c r="O106" s="339">
        <f>O6</f>
        <v>0.45</v>
      </c>
      <c r="P106" s="105">
        <f>N106*(100%-O106)</f>
        <v>130.60850000000002</v>
      </c>
      <c r="Q106" s="126"/>
      <c r="R106" s="136"/>
    </row>
    <row r="107" spans="1:18" s="120" customFormat="1" ht="7.5" customHeight="1" x14ac:dyDescent="0.35">
      <c r="B107" s="83"/>
      <c r="C107" s="26"/>
      <c r="D107" s="39"/>
      <c r="E107" s="39"/>
      <c r="F107" s="26"/>
      <c r="G107" s="26"/>
      <c r="H107" s="26"/>
      <c r="I107" s="39"/>
      <c r="J107" s="26"/>
      <c r="K107" s="93"/>
      <c r="L107" s="93"/>
      <c r="M107" s="131"/>
      <c r="N107" s="318"/>
      <c r="O107" s="132"/>
      <c r="P107" s="105"/>
      <c r="Q107" s="107"/>
      <c r="R107" s="127"/>
    </row>
    <row r="108" spans="1:18" ht="7.5" customHeight="1" x14ac:dyDescent="0.35">
      <c r="B108" s="83"/>
      <c r="C108" s="26"/>
      <c r="D108" s="39"/>
      <c r="E108" s="39"/>
      <c r="F108" s="26"/>
      <c r="G108" s="26"/>
      <c r="H108" s="26"/>
      <c r="I108" s="39"/>
      <c r="J108" s="26"/>
      <c r="K108" s="93"/>
      <c r="L108" s="93"/>
      <c r="M108" s="131"/>
      <c r="N108" s="318"/>
      <c r="O108" s="132"/>
      <c r="P108" s="105"/>
      <c r="Q108" s="107"/>
      <c r="R108" s="127"/>
    </row>
    <row r="109" spans="1:18" s="92" customFormat="1" x14ac:dyDescent="0.35">
      <c r="A109" s="19"/>
      <c r="B109" s="17" t="s">
        <v>728</v>
      </c>
      <c r="C109" s="18"/>
      <c r="D109" s="19"/>
      <c r="E109" s="19"/>
      <c r="F109" s="18"/>
      <c r="G109" s="18"/>
      <c r="H109" s="19"/>
      <c r="I109" s="341"/>
      <c r="J109" s="19"/>
      <c r="K109" s="19"/>
      <c r="L109" s="19"/>
      <c r="M109" s="124"/>
      <c r="N109" s="318"/>
      <c r="O109" s="125"/>
      <c r="P109" s="105"/>
      <c r="Q109" s="127"/>
      <c r="R109" s="127"/>
    </row>
    <row r="110" spans="1:18" s="117" customFormat="1" ht="12.45" customHeight="1" x14ac:dyDescent="0.35">
      <c r="A110" s="19"/>
      <c r="B110" s="17"/>
      <c r="C110" s="18"/>
      <c r="D110" s="19"/>
      <c r="E110" s="19"/>
      <c r="F110" s="18"/>
      <c r="G110" s="18"/>
      <c r="H110" s="19"/>
      <c r="I110" s="341"/>
      <c r="J110" s="19"/>
      <c r="K110" s="19"/>
      <c r="L110" s="19"/>
      <c r="M110" s="124"/>
      <c r="N110" s="318"/>
      <c r="O110" s="125"/>
      <c r="P110" s="105"/>
      <c r="Q110" s="126"/>
      <c r="R110" s="126"/>
    </row>
    <row r="111" spans="1:18" s="117" customFormat="1" ht="12.45" customHeight="1" x14ac:dyDescent="0.35">
      <c r="A111" s="19"/>
      <c r="B111" s="26" t="s">
        <v>27</v>
      </c>
      <c r="C111" s="45"/>
      <c r="D111" s="42" t="s">
        <v>334</v>
      </c>
      <c r="E111" s="28"/>
      <c r="F111" s="28" t="s">
        <v>335</v>
      </c>
      <c r="G111" s="28" t="s">
        <v>331</v>
      </c>
      <c r="H111" s="27"/>
      <c r="I111" s="180" t="s">
        <v>768</v>
      </c>
      <c r="J111" s="27"/>
      <c r="K111" s="27"/>
      <c r="L111" s="23"/>
      <c r="M111" s="149" t="s">
        <v>77</v>
      </c>
      <c r="N111" s="224" t="s">
        <v>422</v>
      </c>
      <c r="O111" s="224" t="s">
        <v>30</v>
      </c>
      <c r="P111" s="224" t="s">
        <v>90</v>
      </c>
      <c r="Q111" s="108"/>
      <c r="R111" s="133"/>
    </row>
    <row r="112" spans="1:18" s="117" customFormat="1" ht="12.45" customHeight="1" x14ac:dyDescent="0.35">
      <c r="A112" s="26"/>
      <c r="B112" s="83">
        <v>5010290028</v>
      </c>
      <c r="C112" s="26"/>
      <c r="D112" s="42" t="s">
        <v>302</v>
      </c>
      <c r="E112" s="42"/>
      <c r="F112" s="23" t="s">
        <v>383</v>
      </c>
      <c r="G112" s="42" t="s">
        <v>381</v>
      </c>
      <c r="H112" s="26"/>
      <c r="I112" s="83">
        <v>101202</v>
      </c>
      <c r="J112" s="26"/>
      <c r="K112" s="93"/>
      <c r="L112" s="93"/>
      <c r="M112" s="134">
        <f>($U$3*N112)</f>
        <v>0</v>
      </c>
      <c r="N112" s="318">
        <v>17.73</v>
      </c>
      <c r="O112" s="339">
        <f>O6</f>
        <v>0.45</v>
      </c>
      <c r="P112" s="105">
        <f>N112*(100%-O112)</f>
        <v>9.7515000000000018</v>
      </c>
      <c r="Q112" s="126"/>
      <c r="R112" s="136"/>
    </row>
    <row r="113" spans="1:18" s="117" customFormat="1" ht="12.45" customHeight="1" x14ac:dyDescent="0.35">
      <c r="A113" s="19"/>
      <c r="B113" s="83">
        <v>5010290029</v>
      </c>
      <c r="C113" s="26"/>
      <c r="D113" s="42" t="s">
        <v>350</v>
      </c>
      <c r="E113" s="42"/>
      <c r="F113" s="23" t="s">
        <v>383</v>
      </c>
      <c r="G113" s="42" t="s">
        <v>351</v>
      </c>
      <c r="H113" s="26"/>
      <c r="I113" s="83">
        <v>101203</v>
      </c>
      <c r="J113" s="26"/>
      <c r="K113" s="93"/>
      <c r="L113" s="93"/>
      <c r="M113" s="134">
        <f>($U$3*N113)</f>
        <v>0</v>
      </c>
      <c r="N113" s="318">
        <v>21.7</v>
      </c>
      <c r="O113" s="339">
        <f>O6</f>
        <v>0.45</v>
      </c>
      <c r="P113" s="105">
        <f>N113*(100%-O113)</f>
        <v>11.935</v>
      </c>
      <c r="Q113" s="126"/>
      <c r="R113" s="140"/>
    </row>
    <row r="114" spans="1:18" s="117" customFormat="1" ht="12.45" customHeight="1" x14ac:dyDescent="0.35">
      <c r="A114" s="26"/>
      <c r="B114" s="83">
        <v>5010290030</v>
      </c>
      <c r="C114" s="26"/>
      <c r="D114" s="42" t="s">
        <v>357</v>
      </c>
      <c r="E114" s="42"/>
      <c r="F114" s="23" t="s">
        <v>383</v>
      </c>
      <c r="G114" s="42" t="s">
        <v>382</v>
      </c>
      <c r="H114" s="26"/>
      <c r="I114" s="83">
        <v>101204</v>
      </c>
      <c r="J114" s="26"/>
      <c r="K114" s="93"/>
      <c r="L114" s="93"/>
      <c r="M114" s="134">
        <f>($U$3*N114)</f>
        <v>0</v>
      </c>
      <c r="N114" s="318">
        <v>31.93</v>
      </c>
      <c r="O114" s="339">
        <f>O6</f>
        <v>0.45</v>
      </c>
      <c r="P114" s="105">
        <f>N114*(100%-O114)</f>
        <v>17.561500000000002</v>
      </c>
      <c r="Q114" s="126"/>
      <c r="R114" s="127"/>
    </row>
    <row r="115" spans="1:18" s="120" customFormat="1" ht="12.45" customHeight="1" x14ac:dyDescent="0.35">
      <c r="B115" s="83">
        <v>5010290031</v>
      </c>
      <c r="C115" s="26"/>
      <c r="D115" s="42" t="s">
        <v>143</v>
      </c>
      <c r="E115" s="42"/>
      <c r="F115" s="233" t="s">
        <v>729</v>
      </c>
      <c r="G115" s="42"/>
      <c r="H115" s="26"/>
      <c r="I115" s="83">
        <v>102131</v>
      </c>
      <c r="J115" s="26"/>
      <c r="K115" s="93"/>
      <c r="L115" s="93"/>
      <c r="M115" s="134">
        <f>($U$3*N115)</f>
        <v>0</v>
      </c>
      <c r="N115" s="318">
        <v>37.86</v>
      </c>
      <c r="O115" s="339">
        <f>O6</f>
        <v>0.45</v>
      </c>
      <c r="P115" s="105">
        <f>N115*(100%-O115)</f>
        <v>20.823</v>
      </c>
      <c r="Q115" s="126"/>
      <c r="R115" s="127"/>
    </row>
    <row r="116" spans="1:18" ht="6.45" customHeight="1" x14ac:dyDescent="0.35">
      <c r="B116" s="87"/>
      <c r="C116" s="26"/>
      <c r="D116" s="100"/>
      <c r="E116" s="100"/>
      <c r="F116" s="88"/>
      <c r="G116" s="88"/>
      <c r="H116" s="88"/>
      <c r="I116" s="100"/>
      <c r="J116" s="88"/>
      <c r="K116" s="111"/>
      <c r="L116" s="111"/>
      <c r="M116" s="187"/>
      <c r="N116" s="318"/>
      <c r="O116" s="132"/>
      <c r="P116" s="105"/>
      <c r="Q116" s="107"/>
      <c r="R116" s="127"/>
    </row>
    <row r="117" spans="1:18" s="92" customFormat="1" x14ac:dyDescent="0.35">
      <c r="A117" s="19"/>
      <c r="B117" s="17" t="s">
        <v>730</v>
      </c>
      <c r="C117" s="18"/>
      <c r="D117" s="19"/>
      <c r="E117" s="19"/>
      <c r="F117" s="18"/>
      <c r="G117" s="18"/>
      <c r="H117" s="19"/>
      <c r="I117" s="341"/>
      <c r="J117" s="19"/>
      <c r="K117" s="19"/>
      <c r="L117" s="19"/>
      <c r="M117" s="124"/>
      <c r="N117" s="318"/>
      <c r="O117" s="125"/>
      <c r="P117" s="105"/>
      <c r="Q117" s="127"/>
      <c r="R117" s="127"/>
    </row>
    <row r="118" spans="1:18" s="117" customFormat="1" ht="12.45" customHeight="1" x14ac:dyDescent="0.35">
      <c r="A118" s="19"/>
      <c r="B118" s="17"/>
      <c r="C118" s="18"/>
      <c r="D118" s="19"/>
      <c r="E118" s="19"/>
      <c r="F118" s="18"/>
      <c r="G118" s="18"/>
      <c r="H118" s="19"/>
      <c r="I118" s="341"/>
      <c r="J118" s="19"/>
      <c r="K118" s="19"/>
      <c r="L118" s="19"/>
      <c r="M118" s="124"/>
      <c r="N118" s="318"/>
      <c r="O118" s="125"/>
      <c r="P118" s="105"/>
      <c r="Q118" s="126"/>
      <c r="R118" s="126"/>
    </row>
    <row r="119" spans="1:18" s="117" customFormat="1" ht="12.45" customHeight="1" x14ac:dyDescent="0.35">
      <c r="A119" s="19"/>
      <c r="B119" s="26" t="s">
        <v>27</v>
      </c>
      <c r="C119" s="45"/>
      <c r="D119" s="42" t="s">
        <v>334</v>
      </c>
      <c r="E119" s="28" t="s">
        <v>147</v>
      </c>
      <c r="F119" s="28" t="s">
        <v>335</v>
      </c>
      <c r="G119" s="28" t="s">
        <v>331</v>
      </c>
      <c r="H119" s="27"/>
      <c r="I119" s="180" t="s">
        <v>768</v>
      </c>
      <c r="J119" s="27"/>
      <c r="K119" s="27"/>
      <c r="L119" s="23"/>
      <c r="M119" s="149" t="s">
        <v>77</v>
      </c>
      <c r="N119" s="224" t="s">
        <v>422</v>
      </c>
      <c r="O119" s="224" t="s">
        <v>30</v>
      </c>
      <c r="P119" s="224" t="s">
        <v>90</v>
      </c>
      <c r="Q119" s="108"/>
      <c r="R119" s="133"/>
    </row>
    <row r="120" spans="1:18" s="117" customFormat="1" ht="12.45" customHeight="1" x14ac:dyDescent="0.35">
      <c r="A120" s="26"/>
      <c r="B120" s="83">
        <v>5010290032</v>
      </c>
      <c r="C120" s="26"/>
      <c r="D120" s="42" t="s">
        <v>384</v>
      </c>
      <c r="E120" s="42"/>
      <c r="F120" s="42"/>
      <c r="G120" s="42" t="s">
        <v>385</v>
      </c>
      <c r="H120" s="26"/>
      <c r="I120" s="83">
        <v>100407</v>
      </c>
      <c r="J120" s="26"/>
      <c r="K120" s="93"/>
      <c r="L120" s="93"/>
      <c r="M120" s="134">
        <f>($U$3*N120)</f>
        <v>0</v>
      </c>
      <c r="N120" s="318">
        <v>12</v>
      </c>
      <c r="O120" s="339">
        <f>O6</f>
        <v>0.45</v>
      </c>
      <c r="P120" s="105">
        <f>N120*(100%-O120)</f>
        <v>6.6000000000000005</v>
      </c>
      <c r="Q120" s="126"/>
      <c r="R120" s="136"/>
    </row>
    <row r="121" spans="1:18" s="120" customFormat="1" ht="12.45" customHeight="1" x14ac:dyDescent="0.35">
      <c r="B121" s="83"/>
      <c r="C121" s="26"/>
      <c r="D121" s="39"/>
      <c r="E121" s="39"/>
      <c r="F121" s="26"/>
      <c r="G121" s="26"/>
      <c r="H121" s="26"/>
      <c r="I121" s="39"/>
      <c r="J121" s="26"/>
      <c r="K121" s="93"/>
      <c r="L121" s="93"/>
      <c r="M121" s="131"/>
      <c r="N121" s="318"/>
      <c r="O121" s="132"/>
      <c r="P121" s="105"/>
      <c r="Q121" s="107"/>
      <c r="R121" s="127"/>
    </row>
    <row r="122" spans="1:18" ht="12.45" customHeight="1" x14ac:dyDescent="0.35">
      <c r="B122" s="83"/>
      <c r="C122" s="26"/>
      <c r="D122" s="39"/>
      <c r="E122" s="39"/>
      <c r="F122" s="26"/>
      <c r="G122" s="26"/>
      <c r="H122" s="26"/>
      <c r="I122" s="39"/>
      <c r="J122" s="26"/>
      <c r="K122" s="93"/>
      <c r="L122" s="93"/>
      <c r="M122" s="131"/>
      <c r="N122" s="318"/>
      <c r="O122" s="132"/>
      <c r="P122" s="105"/>
      <c r="Q122" s="107"/>
      <c r="R122" s="127"/>
    </row>
    <row r="123" spans="1:18" s="92" customFormat="1" x14ac:dyDescent="0.35">
      <c r="A123" s="19"/>
      <c r="B123" s="17" t="s">
        <v>406</v>
      </c>
      <c r="C123" s="18"/>
      <c r="D123" s="19"/>
      <c r="E123" s="19"/>
      <c r="F123" s="18"/>
      <c r="G123" s="18"/>
      <c r="H123" s="19"/>
      <c r="I123" s="341"/>
      <c r="J123" s="19"/>
      <c r="K123" s="19"/>
      <c r="L123" s="19"/>
      <c r="M123" s="124"/>
      <c r="N123" s="318"/>
      <c r="O123" s="125"/>
      <c r="P123" s="105"/>
      <c r="Q123" s="127"/>
      <c r="R123" s="127"/>
    </row>
    <row r="124" spans="1:18" s="117" customFormat="1" ht="12.45" customHeight="1" x14ac:dyDescent="0.35">
      <c r="A124" s="19"/>
      <c r="B124" s="17"/>
      <c r="C124" s="18"/>
      <c r="D124" s="19"/>
      <c r="E124" s="19"/>
      <c r="F124" s="18"/>
      <c r="G124" s="18"/>
      <c r="H124" s="19"/>
      <c r="I124" s="341"/>
      <c r="J124" s="19"/>
      <c r="K124" s="19"/>
      <c r="L124" s="19"/>
      <c r="M124" s="124"/>
      <c r="N124" s="318"/>
      <c r="O124" s="125"/>
      <c r="P124" s="105"/>
      <c r="Q124" s="126"/>
      <c r="R124" s="126"/>
    </row>
    <row r="125" spans="1:18" s="117" customFormat="1" ht="12.45" customHeight="1" x14ac:dyDescent="0.35">
      <c r="A125" s="19"/>
      <c r="B125" s="26" t="s">
        <v>27</v>
      </c>
      <c r="C125" s="45"/>
      <c r="D125" s="42" t="s">
        <v>334</v>
      </c>
      <c r="E125" s="28" t="s">
        <v>147</v>
      </c>
      <c r="F125" s="28" t="s">
        <v>335</v>
      </c>
      <c r="G125" s="28" t="s">
        <v>331</v>
      </c>
      <c r="H125" s="27"/>
      <c r="I125" s="180" t="s">
        <v>768</v>
      </c>
      <c r="J125" s="27"/>
      <c r="K125" s="27"/>
      <c r="L125" s="23"/>
      <c r="M125" s="149" t="s">
        <v>77</v>
      </c>
      <c r="N125" s="224" t="s">
        <v>422</v>
      </c>
      <c r="O125" s="224" t="s">
        <v>30</v>
      </c>
      <c r="P125" s="224" t="s">
        <v>90</v>
      </c>
      <c r="Q125" s="108"/>
      <c r="R125" s="133"/>
    </row>
    <row r="126" spans="1:18" s="117" customFormat="1" ht="12.45" customHeight="1" x14ac:dyDescent="0.35">
      <c r="A126" s="26"/>
      <c r="B126" s="83">
        <v>5010290041</v>
      </c>
      <c r="C126" s="26"/>
      <c r="D126" s="42" t="s">
        <v>423</v>
      </c>
      <c r="E126" s="42"/>
      <c r="F126" s="42" t="s">
        <v>408</v>
      </c>
      <c r="G126" s="42" t="s">
        <v>351</v>
      </c>
      <c r="H126" s="26"/>
      <c r="I126" s="83">
        <v>278501</v>
      </c>
      <c r="J126" s="26"/>
      <c r="K126" s="93"/>
      <c r="L126" s="93"/>
      <c r="M126" s="134">
        <f>($U$3*N126)</f>
        <v>0</v>
      </c>
      <c r="N126" s="318">
        <v>34.58</v>
      </c>
      <c r="O126" s="339">
        <f>O6</f>
        <v>0.45</v>
      </c>
      <c r="P126" s="105">
        <f>N126*(100%-O126)</f>
        <v>19.019000000000002</v>
      </c>
      <c r="Q126" s="126"/>
      <c r="R126" s="136"/>
    </row>
    <row r="127" spans="1:18" s="117" customFormat="1" ht="12.45" customHeight="1" x14ac:dyDescent="0.35">
      <c r="A127" s="19"/>
      <c r="B127" s="83"/>
      <c r="C127" s="26"/>
      <c r="D127" s="42"/>
      <c r="E127" s="42"/>
      <c r="F127" s="42"/>
      <c r="G127" s="42"/>
      <c r="H127" s="26"/>
      <c r="I127" s="39"/>
      <c r="J127" s="26"/>
      <c r="K127" s="93"/>
      <c r="L127" s="93"/>
      <c r="M127" s="131"/>
      <c r="N127" s="318"/>
      <c r="O127" s="339"/>
      <c r="P127" s="105"/>
      <c r="Q127" s="107"/>
      <c r="R127" s="140"/>
    </row>
    <row r="128" spans="1:18" s="117" customFormat="1" ht="12.45" customHeight="1" x14ac:dyDescent="0.35">
      <c r="A128" s="19"/>
      <c r="B128" s="83">
        <v>5010290042</v>
      </c>
      <c r="C128" s="26"/>
      <c r="D128" s="42" t="s">
        <v>407</v>
      </c>
      <c r="E128" s="42"/>
      <c r="F128" s="42" t="s">
        <v>408</v>
      </c>
      <c r="G128" s="42" t="s">
        <v>409</v>
      </c>
      <c r="H128" s="26"/>
      <c r="I128" s="83">
        <v>278502</v>
      </c>
      <c r="J128" s="26"/>
      <c r="K128" s="93"/>
      <c r="L128" s="93"/>
      <c r="M128" s="134">
        <f>($U$3*N128)</f>
        <v>0</v>
      </c>
      <c r="N128" s="318">
        <v>33.840000000000003</v>
      </c>
      <c r="O128" s="339">
        <f>O6</f>
        <v>0.45</v>
      </c>
      <c r="P128" s="105">
        <f>N128*(100%-O128)</f>
        <v>18.612000000000002</v>
      </c>
      <c r="Q128" s="126"/>
      <c r="R128" s="140"/>
    </row>
    <row r="129" spans="1:18" s="236" customFormat="1" ht="40.950000000000003" customHeight="1" x14ac:dyDescent="0.55000000000000004">
      <c r="A129" s="1"/>
      <c r="B129" s="9" t="s">
        <v>731</v>
      </c>
      <c r="C129" s="170"/>
      <c r="D129" s="1"/>
      <c r="E129" s="1"/>
      <c r="F129" s="170"/>
      <c r="G129" s="170"/>
      <c r="H129" s="1"/>
      <c r="I129" s="342"/>
      <c r="J129" s="1"/>
      <c r="K129" s="1"/>
      <c r="L129" s="1"/>
      <c r="M129" s="171"/>
      <c r="N129" s="318"/>
      <c r="O129" s="234"/>
      <c r="P129" s="105"/>
      <c r="Q129" s="235"/>
      <c r="R129" s="235"/>
    </row>
    <row r="130" spans="1:18" s="117" customFormat="1" ht="12.45" customHeight="1" x14ac:dyDescent="0.35">
      <c r="A130" s="19"/>
      <c r="B130" s="17"/>
      <c r="C130" s="18"/>
      <c r="D130" s="19"/>
      <c r="E130" s="19"/>
      <c r="F130" s="18"/>
      <c r="G130" s="18"/>
      <c r="H130" s="19"/>
      <c r="I130" s="341"/>
      <c r="J130" s="19"/>
      <c r="K130" s="19"/>
      <c r="L130" s="19"/>
      <c r="M130" s="124"/>
      <c r="N130" s="318"/>
      <c r="O130" s="125"/>
      <c r="P130" s="105"/>
      <c r="Q130" s="126"/>
      <c r="R130" s="126"/>
    </row>
    <row r="131" spans="1:18" s="117" customFormat="1" ht="12.45" customHeight="1" x14ac:dyDescent="0.35">
      <c r="A131" s="19"/>
      <c r="B131" s="26" t="s">
        <v>27</v>
      </c>
      <c r="C131" s="45"/>
      <c r="D131" s="42" t="s">
        <v>191</v>
      </c>
      <c r="E131" s="28" t="s">
        <v>147</v>
      </c>
      <c r="F131" s="28" t="s">
        <v>335</v>
      </c>
      <c r="G131" s="28" t="s">
        <v>331</v>
      </c>
      <c r="H131" s="27"/>
      <c r="I131" s="180" t="s">
        <v>768</v>
      </c>
      <c r="J131" s="27"/>
      <c r="K131" s="27"/>
      <c r="L131" s="23"/>
      <c r="M131" s="149" t="s">
        <v>77</v>
      </c>
      <c r="N131" s="224" t="s">
        <v>422</v>
      </c>
      <c r="O131" s="224" t="s">
        <v>30</v>
      </c>
      <c r="P131" s="224" t="s">
        <v>90</v>
      </c>
      <c r="Q131" s="108"/>
      <c r="R131" s="133"/>
    </row>
    <row r="132" spans="1:18" s="117" customFormat="1" ht="12.45" customHeight="1" x14ac:dyDescent="0.35">
      <c r="A132" s="26"/>
      <c r="B132" s="83">
        <v>5010290033</v>
      </c>
      <c r="C132" s="26"/>
      <c r="D132" s="42" t="s">
        <v>388</v>
      </c>
      <c r="E132" s="42"/>
      <c r="F132" s="42" t="s">
        <v>386</v>
      </c>
      <c r="G132" s="42" t="s">
        <v>387</v>
      </c>
      <c r="H132" s="26"/>
      <c r="I132" s="83">
        <v>278601</v>
      </c>
      <c r="J132" s="26"/>
      <c r="K132" s="93"/>
      <c r="L132" s="93"/>
      <c r="M132" s="134">
        <f>($U$3*N132)</f>
        <v>0</v>
      </c>
      <c r="N132" s="318">
        <v>14.19</v>
      </c>
      <c r="O132" s="339">
        <f>O6</f>
        <v>0.45</v>
      </c>
      <c r="P132" s="105">
        <f>N132*(100%-O132)</f>
        <v>7.8045</v>
      </c>
      <c r="Q132" s="126"/>
      <c r="R132" s="136"/>
    </row>
    <row r="133" spans="1:18" s="120" customFormat="1" ht="6.45" customHeight="1" x14ac:dyDescent="0.35">
      <c r="B133" s="87"/>
      <c r="C133" s="88"/>
      <c r="D133" s="100"/>
      <c r="E133" s="100"/>
      <c r="F133" s="88"/>
      <c r="G133" s="88"/>
      <c r="H133" s="88"/>
      <c r="I133" s="100"/>
      <c r="J133" s="88"/>
      <c r="K133" s="111"/>
      <c r="L133" s="111"/>
      <c r="M133" s="187"/>
      <c r="N133" s="318"/>
      <c r="O133" s="143"/>
      <c r="P133" s="105"/>
      <c r="Q133" s="107"/>
      <c r="R133" s="127"/>
    </row>
    <row r="134" spans="1:18" s="120" customFormat="1" ht="6.45" customHeight="1" x14ac:dyDescent="0.35">
      <c r="B134" s="87"/>
      <c r="C134" s="88"/>
      <c r="D134" s="100"/>
      <c r="E134" s="100"/>
      <c r="F134" s="88"/>
      <c r="G134" s="88"/>
      <c r="H134" s="88"/>
      <c r="I134" s="100"/>
      <c r="J134" s="88"/>
      <c r="K134" s="111"/>
      <c r="L134" s="111"/>
      <c r="M134" s="187"/>
      <c r="N134" s="318"/>
      <c r="O134" s="143"/>
      <c r="P134" s="105"/>
      <c r="Q134" s="107"/>
      <c r="R134" s="127"/>
    </row>
    <row r="135" spans="1:18" s="236" customFormat="1" ht="28.95" customHeight="1" x14ac:dyDescent="0.55000000000000004">
      <c r="A135" s="1"/>
      <c r="B135" s="9" t="s">
        <v>389</v>
      </c>
      <c r="C135" s="170"/>
      <c r="D135" s="1"/>
      <c r="E135" s="1"/>
      <c r="F135" s="170"/>
      <c r="G135" s="170"/>
      <c r="H135" s="1"/>
      <c r="I135" s="342"/>
      <c r="J135" s="1"/>
      <c r="K135" s="1"/>
      <c r="L135" s="1"/>
      <c r="M135" s="171"/>
      <c r="N135" s="318"/>
      <c r="O135" s="234"/>
      <c r="P135" s="105"/>
      <c r="Q135" s="235"/>
      <c r="R135" s="235"/>
    </row>
    <row r="136" spans="1:18" s="117" customFormat="1" ht="12.45" customHeight="1" x14ac:dyDescent="0.35">
      <c r="A136" s="19"/>
      <c r="B136" s="17"/>
      <c r="C136" s="18"/>
      <c r="D136" s="19"/>
      <c r="E136" s="19"/>
      <c r="F136" s="18"/>
      <c r="G136" s="18"/>
      <c r="H136" s="19"/>
      <c r="I136" s="341"/>
      <c r="J136" s="19"/>
      <c r="K136" s="19"/>
      <c r="L136" s="19"/>
      <c r="M136" s="124"/>
      <c r="N136" s="318"/>
      <c r="O136" s="125"/>
      <c r="P136" s="105"/>
      <c r="Q136" s="126"/>
      <c r="R136" s="126"/>
    </row>
    <row r="137" spans="1:18" s="117" customFormat="1" ht="12.45" customHeight="1" x14ac:dyDescent="0.35">
      <c r="A137" s="19"/>
      <c r="B137" s="26" t="s">
        <v>27</v>
      </c>
      <c r="C137" s="45"/>
      <c r="D137" s="42" t="s">
        <v>110</v>
      </c>
      <c r="E137" s="28" t="s">
        <v>147</v>
      </c>
      <c r="F137" s="28" t="s">
        <v>335</v>
      </c>
      <c r="G137" s="28" t="s">
        <v>331</v>
      </c>
      <c r="H137" s="27"/>
      <c r="I137" s="180" t="s">
        <v>768</v>
      </c>
      <c r="J137" s="27"/>
      <c r="K137" s="27"/>
      <c r="L137" s="23"/>
      <c r="M137" s="149" t="s">
        <v>77</v>
      </c>
      <c r="N137" s="224" t="s">
        <v>422</v>
      </c>
      <c r="O137" s="224" t="s">
        <v>30</v>
      </c>
      <c r="P137" s="224" t="s">
        <v>90</v>
      </c>
      <c r="Q137" s="108"/>
      <c r="R137" s="133"/>
    </row>
    <row r="138" spans="1:18" s="117" customFormat="1" ht="12.45" customHeight="1" x14ac:dyDescent="0.35">
      <c r="A138" s="26"/>
      <c r="B138" s="83">
        <v>5010290034</v>
      </c>
      <c r="C138" s="26"/>
      <c r="D138" s="42" t="s">
        <v>114</v>
      </c>
      <c r="E138" s="42"/>
      <c r="F138" s="42"/>
      <c r="G138" s="42" t="s">
        <v>381</v>
      </c>
      <c r="H138" s="26"/>
      <c r="I138" s="83">
        <v>251002</v>
      </c>
      <c r="J138" s="26"/>
      <c r="K138" s="93"/>
      <c r="L138" s="93"/>
      <c r="M138" s="134">
        <f>($U$3*N138)</f>
        <v>0</v>
      </c>
      <c r="N138" s="318">
        <v>27.69</v>
      </c>
      <c r="O138" s="339">
        <f>O6</f>
        <v>0.45</v>
      </c>
      <c r="P138" s="105">
        <f>N138*(100%-O138)</f>
        <v>15.229500000000002</v>
      </c>
      <c r="Q138" s="126"/>
      <c r="R138" s="136"/>
    </row>
    <row r="139" spans="1:18" ht="6.45" customHeight="1" x14ac:dyDescent="0.35">
      <c r="B139" s="87"/>
      <c r="C139" s="26"/>
      <c r="D139" s="100"/>
      <c r="E139" s="100"/>
      <c r="F139" s="88"/>
      <c r="G139" s="88"/>
      <c r="H139" s="88"/>
      <c r="I139" s="100"/>
      <c r="J139" s="88"/>
      <c r="K139" s="111"/>
      <c r="L139" s="111"/>
      <c r="M139" s="187"/>
      <c r="N139" s="318"/>
      <c r="O139" s="132"/>
      <c r="P139" s="105"/>
      <c r="Q139" s="107"/>
      <c r="R139" s="127"/>
    </row>
    <row r="140" spans="1:18" ht="6.45" customHeight="1" x14ac:dyDescent="0.35">
      <c r="B140" s="83"/>
      <c r="C140" s="26"/>
      <c r="D140" s="39"/>
      <c r="E140" s="39"/>
      <c r="F140" s="26"/>
      <c r="G140" s="26"/>
      <c r="H140" s="26"/>
      <c r="I140" s="39"/>
      <c r="J140" s="26"/>
      <c r="K140" s="93"/>
      <c r="L140" s="93"/>
      <c r="M140" s="131"/>
      <c r="N140" s="318"/>
      <c r="O140" s="132"/>
      <c r="P140" s="105"/>
      <c r="Q140" s="107"/>
      <c r="R140" s="127"/>
    </row>
    <row r="141" spans="1:18" s="236" customFormat="1" ht="28.95" customHeight="1" x14ac:dyDescent="0.55000000000000004">
      <c r="A141" s="1"/>
      <c r="B141" s="9" t="s">
        <v>390</v>
      </c>
      <c r="C141" s="170"/>
      <c r="D141" s="1"/>
      <c r="E141" s="1"/>
      <c r="F141" s="170"/>
      <c r="G141" s="170"/>
      <c r="H141" s="1"/>
      <c r="I141" s="342"/>
      <c r="J141" s="1"/>
      <c r="K141" s="1"/>
      <c r="L141" s="1"/>
      <c r="M141" s="171"/>
      <c r="N141" s="318"/>
      <c r="O141" s="234"/>
      <c r="P141" s="105"/>
      <c r="Q141" s="235"/>
      <c r="R141" s="235"/>
    </row>
    <row r="142" spans="1:18" s="117" customFormat="1" ht="12.45" customHeight="1" x14ac:dyDescent="0.35">
      <c r="A142" s="19"/>
      <c r="B142" s="17"/>
      <c r="C142" s="18"/>
      <c r="D142" s="19"/>
      <c r="E142" s="19"/>
      <c r="F142" s="18"/>
      <c r="G142" s="18"/>
      <c r="H142" s="19"/>
      <c r="I142" s="341"/>
      <c r="J142" s="19"/>
      <c r="K142" s="19"/>
      <c r="L142" s="19"/>
      <c r="M142" s="124"/>
      <c r="N142" s="318"/>
      <c r="O142" s="125"/>
      <c r="P142" s="105"/>
      <c r="Q142" s="126"/>
      <c r="R142" s="126"/>
    </row>
    <row r="143" spans="1:18" s="117" customFormat="1" ht="12.45" customHeight="1" x14ac:dyDescent="0.35">
      <c r="A143" s="19"/>
      <c r="B143" s="26" t="s">
        <v>27</v>
      </c>
      <c r="C143" s="45"/>
      <c r="D143" s="42" t="s">
        <v>334</v>
      </c>
      <c r="E143" s="28" t="s">
        <v>110</v>
      </c>
      <c r="F143" s="28" t="s">
        <v>335</v>
      </c>
      <c r="G143" s="28" t="s">
        <v>331</v>
      </c>
      <c r="H143" s="27"/>
      <c r="I143" s="180" t="s">
        <v>768</v>
      </c>
      <c r="J143" s="27"/>
      <c r="K143" s="27"/>
      <c r="L143" s="23"/>
      <c r="M143" s="149" t="s">
        <v>77</v>
      </c>
      <c r="N143" s="224" t="s">
        <v>422</v>
      </c>
      <c r="O143" s="224" t="s">
        <v>30</v>
      </c>
      <c r="P143" s="224" t="s">
        <v>90</v>
      </c>
      <c r="Q143" s="108"/>
      <c r="R143" s="133"/>
    </row>
    <row r="144" spans="1:18" s="117" customFormat="1" ht="12.45" customHeight="1" x14ac:dyDescent="0.35">
      <c r="A144" s="26"/>
      <c r="B144" s="83">
        <v>5010290035</v>
      </c>
      <c r="C144" s="26"/>
      <c r="D144" s="42" t="s">
        <v>354</v>
      </c>
      <c r="E144" s="42" t="s">
        <v>371</v>
      </c>
      <c r="F144" s="42"/>
      <c r="G144" s="42" t="s">
        <v>395</v>
      </c>
      <c r="H144" s="26"/>
      <c r="I144" s="83">
        <v>261001</v>
      </c>
      <c r="J144" s="26"/>
      <c r="K144" s="93"/>
      <c r="L144" s="93"/>
      <c r="M144" s="134">
        <f>($U$3*N144)</f>
        <v>0</v>
      </c>
      <c r="N144" s="318">
        <v>8.6</v>
      </c>
      <c r="O144" s="339">
        <f>O6</f>
        <v>0.45</v>
      </c>
      <c r="P144" s="105">
        <f>N144*(100%-O144)</f>
        <v>4.7300000000000004</v>
      </c>
      <c r="Q144" s="126"/>
      <c r="R144" s="136"/>
    </row>
    <row r="145" spans="1:18" ht="6.45" customHeight="1" x14ac:dyDescent="0.35">
      <c r="B145" s="83"/>
      <c r="C145" s="26"/>
      <c r="D145" s="39"/>
      <c r="E145" s="39"/>
      <c r="F145" s="26"/>
      <c r="G145" s="26"/>
      <c r="H145" s="26"/>
      <c r="I145" s="39"/>
      <c r="J145" s="26"/>
      <c r="K145" s="93"/>
      <c r="L145" s="93"/>
      <c r="M145" s="131"/>
      <c r="N145" s="318"/>
      <c r="O145" s="132"/>
      <c r="P145" s="105"/>
      <c r="Q145" s="107"/>
      <c r="R145" s="127"/>
    </row>
    <row r="146" spans="1:18" ht="6.45" customHeight="1" x14ac:dyDescent="0.35">
      <c r="B146" s="87"/>
      <c r="C146" s="26"/>
      <c r="D146" s="100"/>
      <c r="E146" s="100"/>
      <c r="F146" s="88"/>
      <c r="G146" s="88"/>
      <c r="H146" s="88"/>
      <c r="I146" s="100"/>
      <c r="J146" s="88"/>
      <c r="K146" s="111"/>
      <c r="L146" s="111"/>
      <c r="M146" s="187"/>
      <c r="N146" s="318"/>
      <c r="O146" s="132"/>
      <c r="P146" s="105"/>
      <c r="Q146" s="107"/>
      <c r="R146" s="127"/>
    </row>
    <row r="147" spans="1:18" s="236" customFormat="1" ht="28.95" customHeight="1" x14ac:dyDescent="0.55000000000000004">
      <c r="A147" s="1"/>
      <c r="B147" s="9" t="s">
        <v>391</v>
      </c>
      <c r="C147" s="170"/>
      <c r="D147" s="1"/>
      <c r="E147" s="1"/>
      <c r="F147" s="170"/>
      <c r="G147" s="170"/>
      <c r="H147" s="1"/>
      <c r="I147" s="342"/>
      <c r="J147" s="1"/>
      <c r="K147" s="1"/>
      <c r="L147" s="1"/>
      <c r="M147" s="171"/>
      <c r="N147" s="318"/>
      <c r="O147" s="234"/>
      <c r="P147" s="105"/>
      <c r="Q147" s="235"/>
      <c r="R147" s="235"/>
    </row>
    <row r="148" spans="1:18" s="117" customFormat="1" ht="12.45" customHeight="1" x14ac:dyDescent="0.35">
      <c r="A148" s="19"/>
      <c r="B148" s="17"/>
      <c r="C148" s="18"/>
      <c r="D148" s="19"/>
      <c r="E148" s="19"/>
      <c r="F148" s="18"/>
      <c r="G148" s="18"/>
      <c r="H148" s="19"/>
      <c r="I148" s="341"/>
      <c r="J148" s="19"/>
      <c r="K148" s="19"/>
      <c r="L148" s="19"/>
      <c r="M148" s="124"/>
      <c r="N148" s="318"/>
      <c r="O148" s="125"/>
      <c r="P148" s="105"/>
      <c r="Q148" s="126"/>
      <c r="R148" s="126"/>
    </row>
    <row r="149" spans="1:18" s="117" customFormat="1" ht="12.45" customHeight="1" x14ac:dyDescent="0.35">
      <c r="A149" s="19"/>
      <c r="B149" s="26" t="s">
        <v>27</v>
      </c>
      <c r="C149" s="45"/>
      <c r="D149" s="42" t="s">
        <v>334</v>
      </c>
      <c r="E149" s="28" t="s">
        <v>110</v>
      </c>
      <c r="F149" s="28" t="s">
        <v>335</v>
      </c>
      <c r="G149" s="28" t="s">
        <v>331</v>
      </c>
      <c r="H149" s="27"/>
      <c r="I149" s="180" t="s">
        <v>768</v>
      </c>
      <c r="J149" s="27"/>
      <c r="K149" s="27"/>
      <c r="L149" s="23"/>
      <c r="M149" s="149" t="s">
        <v>77</v>
      </c>
      <c r="N149" s="224" t="s">
        <v>422</v>
      </c>
      <c r="O149" s="224" t="s">
        <v>30</v>
      </c>
      <c r="P149" s="224" t="s">
        <v>90</v>
      </c>
      <c r="Q149" s="108"/>
      <c r="R149" s="133"/>
    </row>
    <row r="150" spans="1:18" s="117" customFormat="1" ht="12.45" customHeight="1" x14ac:dyDescent="0.35">
      <c r="A150" s="26"/>
      <c r="B150" s="83">
        <v>5010290036</v>
      </c>
      <c r="C150" s="26"/>
      <c r="D150" s="42" t="s">
        <v>392</v>
      </c>
      <c r="E150" s="42" t="s">
        <v>393</v>
      </c>
      <c r="F150" s="42"/>
      <c r="G150" s="42" t="s">
        <v>394</v>
      </c>
      <c r="H150" s="26"/>
      <c r="I150" s="83">
        <v>346001</v>
      </c>
      <c r="J150" s="26"/>
      <c r="K150" s="93"/>
      <c r="L150" s="93"/>
      <c r="M150" s="134">
        <f>($U$3*N150)</f>
        <v>0</v>
      </c>
      <c r="N150" s="318">
        <v>9.49</v>
      </c>
      <c r="O150" s="339">
        <f>O6</f>
        <v>0.45</v>
      </c>
      <c r="P150" s="105">
        <f>N150*(100%-O150)</f>
        <v>5.2195000000000009</v>
      </c>
      <c r="Q150" s="126"/>
      <c r="R150" s="136"/>
    </row>
    <row r="151" spans="1:18" s="117" customFormat="1" ht="6.45" customHeight="1" x14ac:dyDescent="0.35">
      <c r="A151" s="19"/>
      <c r="B151" s="26"/>
      <c r="C151" s="45"/>
      <c r="D151" s="39"/>
      <c r="E151" s="27"/>
      <c r="F151" s="27"/>
      <c r="G151" s="27"/>
      <c r="H151" s="27"/>
      <c r="I151" s="27"/>
      <c r="J151" s="27"/>
      <c r="K151" s="27"/>
      <c r="L151" s="23"/>
      <c r="M151" s="131"/>
      <c r="N151" s="318"/>
      <c r="O151" s="132"/>
      <c r="P151" s="105"/>
      <c r="Q151" s="232"/>
      <c r="R151" s="140"/>
    </row>
    <row r="152" spans="1:18" s="117" customFormat="1" ht="6.45" customHeight="1" x14ac:dyDescent="0.35">
      <c r="A152" s="26"/>
      <c r="B152" s="83"/>
      <c r="C152" s="26"/>
      <c r="D152" s="39"/>
      <c r="E152" s="39"/>
      <c r="F152" s="26"/>
      <c r="G152" s="26"/>
      <c r="H152" s="26"/>
      <c r="I152" s="39"/>
      <c r="J152" s="26"/>
      <c r="K152" s="93"/>
      <c r="L152" s="93"/>
      <c r="M152" s="131"/>
      <c r="N152" s="318"/>
      <c r="O152" s="132"/>
      <c r="P152" s="105"/>
      <c r="Q152" s="107"/>
      <c r="R152" s="127"/>
    </row>
    <row r="153" spans="1:18" s="236" customFormat="1" ht="28.95" customHeight="1" x14ac:dyDescent="0.55000000000000004">
      <c r="A153" s="1"/>
      <c r="B153" s="9" t="s">
        <v>732</v>
      </c>
      <c r="C153" s="170"/>
      <c r="D153" s="1"/>
      <c r="E153" s="1"/>
      <c r="F153" s="170"/>
      <c r="G153" s="170"/>
      <c r="H153" s="1"/>
      <c r="I153" s="342"/>
      <c r="J153" s="1"/>
      <c r="K153" s="1"/>
      <c r="L153" s="1"/>
      <c r="M153" s="171"/>
      <c r="N153" s="318"/>
      <c r="O153" s="234"/>
      <c r="P153" s="105"/>
      <c r="Q153" s="235"/>
      <c r="R153" s="235"/>
    </row>
    <row r="154" spans="1:18" s="117" customFormat="1" ht="12.45" customHeight="1" x14ac:dyDescent="0.35">
      <c r="A154" s="19"/>
      <c r="B154" s="17"/>
      <c r="C154" s="18"/>
      <c r="D154" s="19"/>
      <c r="E154" s="19"/>
      <c r="F154" s="18"/>
      <c r="G154" s="18"/>
      <c r="H154" s="19"/>
      <c r="I154" s="341"/>
      <c r="J154" s="19"/>
      <c r="K154" s="19"/>
      <c r="L154" s="19"/>
      <c r="M154" s="124"/>
      <c r="N154" s="318"/>
      <c r="O154" s="125"/>
      <c r="P154" s="105"/>
      <c r="Q154" s="126"/>
      <c r="R154" s="126"/>
    </row>
    <row r="155" spans="1:18" s="117" customFormat="1" ht="12.45" customHeight="1" x14ac:dyDescent="0.35">
      <c r="A155" s="19"/>
      <c r="B155" s="26" t="s">
        <v>27</v>
      </c>
      <c r="C155" s="45"/>
      <c r="D155" s="42" t="s">
        <v>334</v>
      </c>
      <c r="E155" s="28" t="s">
        <v>110</v>
      </c>
      <c r="F155" s="28" t="s">
        <v>335</v>
      </c>
      <c r="G155" s="28" t="s">
        <v>331</v>
      </c>
      <c r="H155" s="27"/>
      <c r="I155" s="180" t="s">
        <v>768</v>
      </c>
      <c r="J155" s="27"/>
      <c r="K155" s="27"/>
      <c r="L155" s="23"/>
      <c r="M155" s="149" t="s">
        <v>77</v>
      </c>
      <c r="N155" s="224" t="s">
        <v>422</v>
      </c>
      <c r="O155" s="224" t="s">
        <v>30</v>
      </c>
      <c r="P155" s="224" t="s">
        <v>90</v>
      </c>
      <c r="Q155" s="108"/>
      <c r="R155" s="133"/>
    </row>
    <row r="156" spans="1:18" s="117" customFormat="1" ht="12.45" customHeight="1" x14ac:dyDescent="0.35">
      <c r="A156" s="26"/>
      <c r="B156" s="83">
        <v>5010290037</v>
      </c>
      <c r="C156" s="26"/>
      <c r="D156" s="42"/>
      <c r="E156" s="42" t="s">
        <v>397</v>
      </c>
      <c r="F156" s="42" t="s">
        <v>396</v>
      </c>
      <c r="G156" s="42" t="s">
        <v>402</v>
      </c>
      <c r="H156" s="26"/>
      <c r="I156" s="83">
        <v>283401</v>
      </c>
      <c r="J156" s="26"/>
      <c r="K156" s="93"/>
      <c r="L156" s="93"/>
      <c r="M156" s="134">
        <f>($U$3*N156)</f>
        <v>0</v>
      </c>
      <c r="N156" s="318">
        <v>13.66</v>
      </c>
      <c r="O156" s="339">
        <f>O6</f>
        <v>0.45</v>
      </c>
      <c r="P156" s="105">
        <f>N156*(100%-O156)</f>
        <v>7.5130000000000008</v>
      </c>
      <c r="Q156" s="126"/>
      <c r="R156" s="136"/>
    </row>
    <row r="157" spans="1:18" s="117" customFormat="1" ht="6.45" customHeight="1" x14ac:dyDescent="0.35">
      <c r="A157" s="19"/>
      <c r="B157" s="26"/>
      <c r="C157" s="45"/>
      <c r="D157" s="39"/>
      <c r="E157" s="27"/>
      <c r="F157" s="27"/>
      <c r="G157" s="27"/>
      <c r="H157" s="27"/>
      <c r="I157" s="27"/>
      <c r="J157" s="27"/>
      <c r="K157" s="27"/>
      <c r="L157" s="23"/>
      <c r="M157" s="131"/>
      <c r="N157" s="318"/>
      <c r="O157" s="132"/>
      <c r="P157" s="105"/>
      <c r="Q157" s="232"/>
      <c r="R157" s="140"/>
    </row>
    <row r="158" spans="1:18" s="117" customFormat="1" ht="6.45" customHeight="1" x14ac:dyDescent="0.35">
      <c r="A158" s="26"/>
      <c r="B158" s="83"/>
      <c r="C158" s="26"/>
      <c r="D158" s="39"/>
      <c r="E158" s="39"/>
      <c r="F158" s="26"/>
      <c r="G158" s="26"/>
      <c r="H158" s="26"/>
      <c r="I158" s="39"/>
      <c r="J158" s="26"/>
      <c r="K158" s="93"/>
      <c r="L158" s="93"/>
      <c r="M158" s="131"/>
      <c r="N158" s="318"/>
      <c r="O158" s="132"/>
      <c r="P158" s="105"/>
      <c r="Q158" s="107"/>
      <c r="R158" s="127"/>
    </row>
    <row r="159" spans="1:18" s="236" customFormat="1" ht="28.95" customHeight="1" x14ac:dyDescent="0.55000000000000004">
      <c r="A159" s="1"/>
      <c r="B159" s="179" t="s">
        <v>733</v>
      </c>
      <c r="C159" s="170"/>
      <c r="D159" s="1"/>
      <c r="E159" s="1"/>
      <c r="F159" s="170"/>
      <c r="G159" s="170"/>
      <c r="H159" s="1"/>
      <c r="I159" s="342"/>
      <c r="J159" s="1"/>
      <c r="K159" s="1"/>
      <c r="L159" s="1"/>
      <c r="M159" s="171"/>
      <c r="N159" s="318"/>
      <c r="O159" s="234"/>
      <c r="P159" s="105"/>
      <c r="Q159" s="235"/>
      <c r="R159" s="235"/>
    </row>
    <row r="160" spans="1:18" s="117" customFormat="1" ht="12.45" customHeight="1" x14ac:dyDescent="0.35">
      <c r="A160" s="19"/>
      <c r="B160" s="17"/>
      <c r="C160" s="18"/>
      <c r="D160" s="19"/>
      <c r="E160" s="19"/>
      <c r="F160" s="18"/>
      <c r="G160" s="18"/>
      <c r="H160" s="19"/>
      <c r="I160" s="341"/>
      <c r="J160" s="19"/>
      <c r="K160" s="19"/>
      <c r="L160" s="19"/>
      <c r="M160" s="124"/>
      <c r="N160" s="318"/>
      <c r="O160" s="125"/>
      <c r="P160" s="105"/>
      <c r="Q160" s="126"/>
      <c r="R160" s="126"/>
    </row>
    <row r="161" spans="1:18" s="117" customFormat="1" ht="12.45" customHeight="1" x14ac:dyDescent="0.35">
      <c r="A161" s="19"/>
      <c r="B161" s="26" t="s">
        <v>27</v>
      </c>
      <c r="C161" s="45"/>
      <c r="D161" s="42" t="s">
        <v>334</v>
      </c>
      <c r="E161" s="28" t="s">
        <v>400</v>
      </c>
      <c r="F161" s="28" t="s">
        <v>335</v>
      </c>
      <c r="G161" s="28" t="s">
        <v>331</v>
      </c>
      <c r="H161" s="27"/>
      <c r="I161" s="180" t="s">
        <v>768</v>
      </c>
      <c r="J161" s="27"/>
      <c r="K161" s="27"/>
      <c r="L161" s="23"/>
      <c r="M161" s="149" t="s">
        <v>77</v>
      </c>
      <c r="N161" s="224" t="s">
        <v>422</v>
      </c>
      <c r="O161" s="224" t="s">
        <v>30</v>
      </c>
      <c r="P161" s="224" t="s">
        <v>90</v>
      </c>
      <c r="Q161" s="108"/>
      <c r="R161" s="133"/>
    </row>
    <row r="162" spans="1:18" s="117" customFormat="1" ht="12.45" customHeight="1" x14ac:dyDescent="0.35">
      <c r="A162" s="26"/>
      <c r="B162" s="83">
        <v>5010290038</v>
      </c>
      <c r="C162" s="26"/>
      <c r="D162" s="42"/>
      <c r="E162" s="42" t="s">
        <v>401</v>
      </c>
      <c r="F162" s="42" t="s">
        <v>398</v>
      </c>
      <c r="G162" s="42" t="s">
        <v>395</v>
      </c>
      <c r="H162" s="26"/>
      <c r="I162" s="83">
        <v>284201</v>
      </c>
      <c r="J162" s="26"/>
      <c r="K162" s="93"/>
      <c r="L162" s="93"/>
      <c r="M162" s="134">
        <f>($U$3*N162)</f>
        <v>0</v>
      </c>
      <c r="N162" s="318">
        <v>9.5500000000000007</v>
      </c>
      <c r="O162" s="339">
        <f>O6</f>
        <v>0.45</v>
      </c>
      <c r="P162" s="105">
        <f>N162*(100%-O162)</f>
        <v>5.2525000000000004</v>
      </c>
      <c r="Q162" s="126"/>
      <c r="R162" s="136"/>
    </row>
    <row r="163" spans="1:18" s="117" customFormat="1" ht="12.45" customHeight="1" x14ac:dyDescent="0.35">
      <c r="A163" s="19"/>
      <c r="B163" s="83">
        <v>5010290039</v>
      </c>
      <c r="C163" s="26"/>
      <c r="D163" s="42" t="s">
        <v>497</v>
      </c>
      <c r="E163" s="42" t="s">
        <v>401</v>
      </c>
      <c r="F163" s="42" t="s">
        <v>399</v>
      </c>
      <c r="G163" s="42" t="s">
        <v>395</v>
      </c>
      <c r="H163" s="26"/>
      <c r="I163" s="83">
        <v>284204</v>
      </c>
      <c r="J163" s="26"/>
      <c r="K163" s="93"/>
      <c r="L163" s="93"/>
      <c r="M163" s="134">
        <f>($U$3*N163)</f>
        <v>0</v>
      </c>
      <c r="N163" s="318">
        <v>12.01</v>
      </c>
      <c r="O163" s="339">
        <f>O6</f>
        <v>0.45</v>
      </c>
      <c r="P163" s="105">
        <f>N163*(100%-O163)</f>
        <v>6.6055000000000001</v>
      </c>
      <c r="Q163" s="126"/>
      <c r="R163" s="140"/>
    </row>
    <row r="164" spans="1:18" s="117" customFormat="1" ht="24" customHeight="1" x14ac:dyDescent="0.35">
      <c r="A164" s="26"/>
      <c r="B164" s="83"/>
      <c r="C164" s="26"/>
      <c r="D164" s="39"/>
      <c r="E164" s="39"/>
      <c r="F164" s="26"/>
      <c r="G164" s="26"/>
      <c r="H164" s="26"/>
      <c r="I164" s="39"/>
      <c r="J164" s="26"/>
      <c r="K164" s="93"/>
      <c r="L164" s="93"/>
      <c r="M164" s="131"/>
      <c r="N164" s="318"/>
      <c r="O164" s="132"/>
      <c r="P164" s="105"/>
      <c r="Q164" s="107"/>
      <c r="R164" s="127"/>
    </row>
    <row r="165" spans="1:18" s="236" customFormat="1" ht="28.95" customHeight="1" x14ac:dyDescent="0.55000000000000004">
      <c r="A165" s="1"/>
      <c r="B165" s="9" t="s">
        <v>403</v>
      </c>
      <c r="C165" s="170"/>
      <c r="D165" s="1"/>
      <c r="E165" s="1"/>
      <c r="F165" s="170"/>
      <c r="G165" s="170"/>
      <c r="H165" s="1"/>
      <c r="I165" s="342"/>
      <c r="J165" s="1"/>
      <c r="K165" s="1"/>
      <c r="L165" s="1"/>
      <c r="M165" s="171"/>
      <c r="N165" s="318"/>
      <c r="O165" s="234"/>
      <c r="P165" s="105"/>
      <c r="Q165" s="235"/>
      <c r="R165" s="235"/>
    </row>
    <row r="166" spans="1:18" s="117" customFormat="1" ht="12.45" customHeight="1" x14ac:dyDescent="0.35">
      <c r="A166" s="19"/>
      <c r="B166" s="17"/>
      <c r="C166" s="18"/>
      <c r="D166" s="19"/>
      <c r="E166" s="19"/>
      <c r="F166" s="18"/>
      <c r="G166" s="18"/>
      <c r="H166" s="19"/>
      <c r="I166" s="341"/>
      <c r="J166" s="19"/>
      <c r="K166" s="19"/>
      <c r="L166" s="19"/>
      <c r="M166" s="124"/>
      <c r="N166" s="318"/>
      <c r="O166" s="125"/>
      <c r="P166" s="105"/>
      <c r="Q166" s="126"/>
      <c r="R166" s="126"/>
    </row>
    <row r="167" spans="1:18" s="117" customFormat="1" ht="12.45" customHeight="1" x14ac:dyDescent="0.35">
      <c r="A167" s="19"/>
      <c r="B167" s="26" t="s">
        <v>27</v>
      </c>
      <c r="C167" s="45"/>
      <c r="D167" s="42" t="s">
        <v>334</v>
      </c>
      <c r="E167" s="28" t="s">
        <v>400</v>
      </c>
      <c r="F167" s="28" t="s">
        <v>335</v>
      </c>
      <c r="G167" s="28" t="s">
        <v>331</v>
      </c>
      <c r="H167" s="27"/>
      <c r="I167" s="180" t="s">
        <v>768</v>
      </c>
      <c r="J167" s="27"/>
      <c r="K167" s="27"/>
      <c r="L167" s="23"/>
      <c r="M167" s="149" t="s">
        <v>77</v>
      </c>
      <c r="N167" s="224" t="s">
        <v>422</v>
      </c>
      <c r="O167" s="224" t="s">
        <v>30</v>
      </c>
      <c r="P167" s="224" t="s">
        <v>90</v>
      </c>
      <c r="Q167" s="108"/>
      <c r="R167" s="133"/>
    </row>
    <row r="168" spans="1:18" s="117" customFormat="1" ht="12.45" customHeight="1" x14ac:dyDescent="0.35">
      <c r="A168" s="26"/>
      <c r="B168" s="83">
        <v>5010290040</v>
      </c>
      <c r="C168" s="26"/>
      <c r="D168" s="42"/>
      <c r="E168" s="42"/>
      <c r="F168" s="42" t="s">
        <v>404</v>
      </c>
      <c r="G168" s="42" t="s">
        <v>405</v>
      </c>
      <c r="H168" s="26"/>
      <c r="I168" s="83">
        <v>284301</v>
      </c>
      <c r="J168" s="26"/>
      <c r="K168" s="93"/>
      <c r="L168" s="93"/>
      <c r="M168" s="134">
        <f>($U$3*N168)</f>
        <v>0</v>
      </c>
      <c r="N168" s="318">
        <v>11.17</v>
      </c>
      <c r="O168" s="339">
        <f>O6</f>
        <v>0.45</v>
      </c>
      <c r="P168" s="105">
        <f>N168*(100%-O168)</f>
        <v>6.1435000000000004</v>
      </c>
      <c r="Q168" s="126"/>
      <c r="R168" s="136"/>
    </row>
    <row r="169" spans="1:18" s="117" customFormat="1" ht="7.5" customHeight="1" x14ac:dyDescent="0.35">
      <c r="A169" s="26"/>
      <c r="B169" s="83"/>
      <c r="C169" s="26"/>
      <c r="D169" s="42"/>
      <c r="E169" s="42"/>
      <c r="F169" s="42"/>
      <c r="G169" s="42"/>
      <c r="H169" s="26"/>
      <c r="I169" s="83"/>
      <c r="J169" s="26"/>
      <c r="K169" s="93"/>
      <c r="L169" s="93"/>
      <c r="M169" s="131"/>
      <c r="N169" s="318"/>
      <c r="O169" s="339"/>
      <c r="P169" s="105"/>
      <c r="Q169" s="126"/>
      <c r="R169" s="136"/>
    </row>
    <row r="170" spans="1:18" s="120" customFormat="1" ht="7.5" customHeight="1" x14ac:dyDescent="0.35">
      <c r="B170" s="83"/>
      <c r="C170" s="26"/>
      <c r="D170" s="39"/>
      <c r="E170" s="39"/>
      <c r="F170" s="26"/>
      <c r="G170" s="26"/>
      <c r="H170" s="26"/>
      <c r="I170" s="39"/>
      <c r="J170" s="26"/>
      <c r="K170" s="93"/>
      <c r="L170" s="93"/>
      <c r="M170" s="131"/>
      <c r="N170" s="318"/>
      <c r="O170" s="132"/>
      <c r="P170" s="105"/>
      <c r="Q170" s="107"/>
      <c r="R170" s="127"/>
    </row>
    <row r="171" spans="1:18" s="236" customFormat="1" ht="21" customHeight="1" x14ac:dyDescent="0.55000000000000004">
      <c r="A171" s="1"/>
      <c r="B171" s="9" t="s">
        <v>793</v>
      </c>
      <c r="C171" s="170"/>
      <c r="D171" s="1"/>
      <c r="E171" s="1"/>
      <c r="F171" s="170"/>
      <c r="G171" s="170"/>
      <c r="H171" s="1"/>
      <c r="I171" s="342"/>
      <c r="J171" s="1"/>
      <c r="K171" s="1"/>
      <c r="L171" s="1"/>
      <c r="M171" s="171"/>
      <c r="N171" s="318"/>
      <c r="O171" s="234"/>
      <c r="P171" s="105"/>
      <c r="Q171" s="235"/>
      <c r="R171" s="235"/>
    </row>
    <row r="172" spans="1:18" s="117" customFormat="1" ht="19.3" customHeight="1" x14ac:dyDescent="0.35">
      <c r="A172" s="19"/>
      <c r="B172" s="17"/>
      <c r="C172" s="18"/>
      <c r="D172" s="19"/>
      <c r="E172" s="19"/>
      <c r="F172" s="18"/>
      <c r="G172" s="18"/>
      <c r="H172" s="19"/>
      <c r="I172" s="341"/>
      <c r="J172" s="19"/>
      <c r="K172" s="19"/>
      <c r="L172" s="19"/>
      <c r="M172" s="124"/>
      <c r="N172" s="318"/>
      <c r="O172" s="125"/>
      <c r="P172" s="105"/>
      <c r="Q172" s="126"/>
      <c r="R172" s="126"/>
    </row>
    <row r="173" spans="1:18" s="117" customFormat="1" ht="12.45" customHeight="1" x14ac:dyDescent="0.35">
      <c r="A173" s="19"/>
      <c r="B173" s="26" t="s">
        <v>27</v>
      </c>
      <c r="C173" s="45"/>
      <c r="D173" s="42"/>
      <c r="E173" s="28"/>
      <c r="F173" s="28"/>
      <c r="G173" s="28"/>
      <c r="H173" s="27"/>
      <c r="I173" s="180"/>
      <c r="J173" s="27"/>
      <c r="K173" s="27"/>
      <c r="L173" s="23"/>
      <c r="M173" s="149" t="s">
        <v>77</v>
      </c>
      <c r="N173" s="224" t="s">
        <v>422</v>
      </c>
      <c r="O173" s="224" t="s">
        <v>30</v>
      </c>
      <c r="P173" s="224" t="s">
        <v>90</v>
      </c>
      <c r="Q173" s="108"/>
      <c r="R173" s="133"/>
    </row>
    <row r="174" spans="1:18" s="117" customFormat="1" ht="12.45" customHeight="1" x14ac:dyDescent="0.35">
      <c r="A174" s="26"/>
      <c r="B174" s="83">
        <v>5020280008</v>
      </c>
      <c r="C174" s="26"/>
      <c r="D174" s="42"/>
      <c r="E174" s="42"/>
      <c r="F174" s="42"/>
      <c r="G174" s="42"/>
      <c r="H174" s="26"/>
      <c r="I174" s="83"/>
      <c r="J174" s="26"/>
      <c r="K174" s="93"/>
      <c r="L174" s="93"/>
      <c r="M174" s="134">
        <f>($U$3*N174)</f>
        <v>0</v>
      </c>
      <c r="N174" s="318">
        <v>79</v>
      </c>
      <c r="O174" s="339">
        <v>0.3</v>
      </c>
      <c r="P174" s="105">
        <f>N174*(100%-O174)</f>
        <v>55.3</v>
      </c>
      <c r="Q174" s="126"/>
      <c r="R174" s="136"/>
    </row>
    <row r="175" spans="1:18" x14ac:dyDescent="0.35">
      <c r="Q175" s="107"/>
      <c r="R175" s="107"/>
    </row>
    <row r="176" spans="1:18" ht="4.8499999999999996" customHeight="1" x14ac:dyDescent="0.35">
      <c r="Q176" s="107"/>
      <c r="R176" s="107"/>
    </row>
    <row r="177" spans="1:18" s="236" customFormat="1" ht="28.95" customHeight="1" x14ac:dyDescent="0.55000000000000004">
      <c r="A177" s="1"/>
      <c r="B177" s="9" t="s">
        <v>802</v>
      </c>
      <c r="C177" s="170"/>
      <c r="D177" s="1"/>
      <c r="E177" s="1"/>
      <c r="F177" s="170"/>
      <c r="G177" s="170"/>
      <c r="H177" s="1"/>
      <c r="I177" s="342"/>
      <c r="J177" s="1"/>
      <c r="K177" s="1"/>
      <c r="L177" s="1"/>
      <c r="M177" s="171"/>
      <c r="N177" s="318"/>
      <c r="O177" s="234"/>
      <c r="P177" s="105"/>
      <c r="Q177" s="235"/>
      <c r="R177" s="235"/>
    </row>
    <row r="178" spans="1:18" s="117" customFormat="1" ht="19.3" customHeight="1" x14ac:dyDescent="0.35">
      <c r="A178" s="19"/>
      <c r="B178" s="17"/>
      <c r="C178" s="18"/>
      <c r="D178" s="19"/>
      <c r="E178" s="19"/>
      <c r="F178" s="18"/>
      <c r="G178" s="18"/>
      <c r="H178" s="19"/>
      <c r="I178" s="341"/>
      <c r="J178" s="19"/>
      <c r="K178" s="19"/>
      <c r="L178" s="19"/>
      <c r="M178" s="124"/>
      <c r="N178" s="318"/>
      <c r="O178" s="125"/>
      <c r="P178" s="105"/>
      <c r="Q178" s="126"/>
      <c r="R178" s="126"/>
    </row>
    <row r="179" spans="1:18" s="117" customFormat="1" ht="12.45" customHeight="1" x14ac:dyDescent="0.35">
      <c r="A179" s="19"/>
      <c r="B179" s="26" t="s">
        <v>27</v>
      </c>
      <c r="C179" s="45"/>
      <c r="D179" s="42"/>
      <c r="E179" s="28"/>
      <c r="F179" s="27" t="s">
        <v>335</v>
      </c>
      <c r="G179" s="28" t="s">
        <v>331</v>
      </c>
      <c r="H179" s="27"/>
      <c r="I179" s="180"/>
      <c r="J179" s="27"/>
      <c r="K179" s="27"/>
      <c r="L179" s="23"/>
      <c r="M179" s="149" t="s">
        <v>77</v>
      </c>
      <c r="N179" s="224" t="s">
        <v>422</v>
      </c>
      <c r="O179" s="224" t="s">
        <v>30</v>
      </c>
      <c r="P179" s="224" t="s">
        <v>90</v>
      </c>
      <c r="Q179" s="108"/>
      <c r="R179" s="133"/>
    </row>
    <row r="180" spans="1:18" s="117" customFormat="1" ht="12.45" customHeight="1" x14ac:dyDescent="0.35">
      <c r="A180" s="26"/>
      <c r="B180" s="83">
        <v>5020280009</v>
      </c>
      <c r="C180" s="26"/>
      <c r="D180" s="42"/>
      <c r="E180" s="42"/>
      <c r="F180" s="23" t="s">
        <v>794</v>
      </c>
      <c r="G180" s="42" t="s">
        <v>795</v>
      </c>
      <c r="H180" s="26"/>
      <c r="I180" s="83"/>
      <c r="J180" s="26"/>
      <c r="K180" s="93"/>
      <c r="L180" s="93"/>
      <c r="M180" s="134">
        <f>($U$3*N180)</f>
        <v>0</v>
      </c>
      <c r="N180" s="318">
        <v>89</v>
      </c>
      <c r="O180" s="339">
        <v>0.3</v>
      </c>
      <c r="P180" s="105">
        <f>N180*(100%-O180)</f>
        <v>62.3</v>
      </c>
      <c r="Q180" s="126"/>
      <c r="R180" s="136"/>
    </row>
    <row r="181" spans="1:18" s="117" customFormat="1" ht="7.5" customHeight="1" x14ac:dyDescent="0.35">
      <c r="A181" s="26"/>
      <c r="B181" s="83"/>
      <c r="C181" s="26"/>
      <c r="D181" s="42"/>
      <c r="E181" s="42"/>
      <c r="F181" s="23"/>
      <c r="G181" s="42"/>
      <c r="H181" s="26"/>
      <c r="I181" s="83"/>
      <c r="J181" s="26"/>
      <c r="K181" s="93"/>
      <c r="L181" s="93"/>
      <c r="M181" s="131"/>
      <c r="N181" s="318"/>
      <c r="O181" s="339"/>
      <c r="P181" s="105"/>
      <c r="Q181" s="126"/>
      <c r="R181" s="136"/>
    </row>
    <row r="182" spans="1:18" ht="7.5" customHeight="1" x14ac:dyDescent="0.35">
      <c r="Q182" s="107"/>
      <c r="R182" s="107"/>
    </row>
    <row r="183" spans="1:18" s="236" customFormat="1" ht="28.95" customHeight="1" x14ac:dyDescent="0.55000000000000004">
      <c r="A183" s="1"/>
      <c r="B183" s="9" t="s">
        <v>796</v>
      </c>
      <c r="C183" s="170"/>
      <c r="D183" s="1"/>
      <c r="E183" s="1"/>
      <c r="F183" s="170"/>
      <c r="G183" s="170"/>
      <c r="H183" s="1"/>
      <c r="I183" s="342"/>
      <c r="J183" s="1"/>
      <c r="K183" s="1"/>
      <c r="L183" s="1"/>
      <c r="M183" s="171"/>
      <c r="N183" s="318"/>
      <c r="O183" s="234"/>
      <c r="P183" s="105"/>
      <c r="Q183" s="235"/>
      <c r="R183" s="235"/>
    </row>
    <row r="184" spans="1:18" s="117" customFormat="1" ht="9.4499999999999993" customHeight="1" x14ac:dyDescent="0.35">
      <c r="A184" s="19"/>
      <c r="B184" s="17"/>
      <c r="C184" s="18"/>
      <c r="D184" s="19"/>
      <c r="E184" s="19"/>
      <c r="F184" s="18"/>
      <c r="G184" s="18"/>
      <c r="H184" s="19"/>
      <c r="I184" s="341"/>
      <c r="J184" s="19"/>
      <c r="K184" s="19"/>
      <c r="L184" s="19"/>
      <c r="M184" s="124"/>
      <c r="N184" s="318"/>
      <c r="O184" s="125"/>
      <c r="P184" s="105"/>
      <c r="Q184" s="126"/>
      <c r="R184" s="126"/>
    </row>
    <row r="185" spans="1:18" s="117" customFormat="1" ht="12.45" customHeight="1" x14ac:dyDescent="0.35">
      <c r="A185" s="19"/>
      <c r="B185" s="26" t="s">
        <v>27</v>
      </c>
      <c r="C185" s="45"/>
      <c r="D185" s="42"/>
      <c r="E185" s="28"/>
      <c r="F185" s="27" t="s">
        <v>335</v>
      </c>
      <c r="G185" s="28" t="s">
        <v>331</v>
      </c>
      <c r="H185" s="27"/>
      <c r="I185" s="180"/>
      <c r="J185" s="27"/>
      <c r="K185" s="27"/>
      <c r="L185" s="23"/>
      <c r="M185" s="149" t="s">
        <v>77</v>
      </c>
      <c r="N185" s="224" t="s">
        <v>422</v>
      </c>
      <c r="O185" s="224" t="s">
        <v>30</v>
      </c>
      <c r="P185" s="224" t="s">
        <v>90</v>
      </c>
      <c r="Q185" s="108"/>
      <c r="R185" s="133"/>
    </row>
    <row r="186" spans="1:18" s="117" customFormat="1" ht="12.45" customHeight="1" x14ac:dyDescent="0.35">
      <c r="A186" s="26"/>
      <c r="B186" s="83">
        <v>5020280010</v>
      </c>
      <c r="C186" s="26"/>
      <c r="D186" s="42"/>
      <c r="E186" s="42"/>
      <c r="F186" s="23" t="s">
        <v>800</v>
      </c>
      <c r="G186" s="42" t="s">
        <v>801</v>
      </c>
      <c r="H186" s="26"/>
      <c r="I186" s="83"/>
      <c r="J186" s="26"/>
      <c r="K186" s="93"/>
      <c r="L186" s="93"/>
      <c r="M186" s="134">
        <f>($U$3*N186)</f>
        <v>0</v>
      </c>
      <c r="N186" s="318">
        <v>43</v>
      </c>
      <c r="O186" s="339">
        <v>0.3</v>
      </c>
      <c r="P186" s="105">
        <f>N186*(100%-O186)</f>
        <v>30.099999999999998</v>
      </c>
      <c r="Q186" s="126"/>
      <c r="R186" s="136"/>
    </row>
    <row r="187" spans="1:18" ht="7.5" customHeight="1" x14ac:dyDescent="0.35"/>
    <row r="188" spans="1:18" ht="7.5" customHeight="1" x14ac:dyDescent="0.35"/>
    <row r="189" spans="1:18" s="236" customFormat="1" ht="28.95" customHeight="1" x14ac:dyDescent="0.55000000000000004">
      <c r="A189" s="1"/>
      <c r="B189" s="9" t="s">
        <v>798</v>
      </c>
      <c r="C189" s="170"/>
      <c r="D189" s="1"/>
      <c r="E189" s="1"/>
      <c r="F189" s="170"/>
      <c r="G189" s="170"/>
      <c r="H189" s="1"/>
      <c r="I189" s="342"/>
      <c r="J189" s="1"/>
      <c r="K189" s="1"/>
      <c r="L189" s="1"/>
      <c r="M189" s="171"/>
      <c r="N189" s="318"/>
      <c r="O189" s="234"/>
      <c r="P189" s="105"/>
      <c r="Q189" s="235"/>
      <c r="R189" s="235"/>
    </row>
    <row r="190" spans="1:18" s="117" customFormat="1" ht="21.45" customHeight="1" x14ac:dyDescent="0.35">
      <c r="A190" s="19"/>
      <c r="B190" s="17"/>
      <c r="C190" s="18"/>
      <c r="D190" s="19"/>
      <c r="E190" s="19"/>
      <c r="F190" s="18"/>
      <c r="G190" s="18"/>
      <c r="H190" s="19"/>
      <c r="I190" s="341"/>
      <c r="J190" s="19"/>
      <c r="K190" s="19"/>
      <c r="L190" s="19"/>
      <c r="M190" s="124"/>
      <c r="N190" s="318"/>
      <c r="O190" s="125"/>
      <c r="P190" s="105"/>
      <c r="Q190" s="126"/>
      <c r="R190" s="126"/>
    </row>
    <row r="191" spans="1:18" s="117" customFormat="1" ht="12.45" customHeight="1" x14ac:dyDescent="0.35">
      <c r="A191" s="19"/>
      <c r="B191" s="26" t="s">
        <v>27</v>
      </c>
      <c r="C191" s="45"/>
      <c r="D191" s="42" t="s">
        <v>165</v>
      </c>
      <c r="E191" s="28"/>
      <c r="F191" s="28" t="s">
        <v>335</v>
      </c>
      <c r="G191" s="28"/>
      <c r="H191" s="27"/>
      <c r="I191" s="180"/>
      <c r="J191" s="27"/>
      <c r="K191" s="27"/>
      <c r="L191" s="23"/>
      <c r="M191" s="149" t="s">
        <v>77</v>
      </c>
      <c r="N191" s="224" t="s">
        <v>422</v>
      </c>
      <c r="O191" s="224" t="s">
        <v>30</v>
      </c>
      <c r="P191" s="224" t="s">
        <v>90</v>
      </c>
      <c r="Q191" s="108"/>
      <c r="R191" s="133"/>
    </row>
    <row r="192" spans="1:18" s="117" customFormat="1" ht="12.45" customHeight="1" x14ac:dyDescent="0.35">
      <c r="A192" s="26"/>
      <c r="B192" s="83">
        <v>5020280011</v>
      </c>
      <c r="C192" s="26"/>
      <c r="D192" s="42" t="s">
        <v>799</v>
      </c>
      <c r="E192" s="42"/>
      <c r="F192" s="42" t="s">
        <v>797</v>
      </c>
      <c r="G192" s="42"/>
      <c r="H192" s="26"/>
      <c r="I192" s="83"/>
      <c r="J192" s="26"/>
      <c r="K192" s="93"/>
      <c r="L192" s="93"/>
      <c r="M192" s="134">
        <f>($U$3*N192)</f>
        <v>0</v>
      </c>
      <c r="N192" s="318">
        <v>119</v>
      </c>
      <c r="O192" s="339">
        <v>0.3</v>
      </c>
      <c r="P192" s="105">
        <f>N192*(100%-O192)</f>
        <v>83.3</v>
      </c>
      <c r="Q192" s="126"/>
      <c r="R192" s="136"/>
    </row>
    <row r="193" spans="1:18" s="117" customFormat="1" ht="7.5" customHeight="1" x14ac:dyDescent="0.35">
      <c r="A193" s="26"/>
      <c r="B193" s="83"/>
      <c r="C193" s="26"/>
      <c r="D193" s="42"/>
      <c r="E193" s="42"/>
      <c r="F193" s="42"/>
      <c r="G193" s="42"/>
      <c r="H193" s="26"/>
      <c r="I193" s="83"/>
      <c r="J193" s="26"/>
      <c r="K193" s="93"/>
      <c r="L193" s="93"/>
      <c r="M193" s="131"/>
      <c r="N193" s="318"/>
      <c r="O193" s="339"/>
      <c r="P193" s="105"/>
      <c r="Q193" s="126"/>
      <c r="R193" s="136"/>
    </row>
    <row r="194" spans="1:18" ht="7.5" customHeight="1" x14ac:dyDescent="0.35"/>
    <row r="195" spans="1:18" s="236" customFormat="1" ht="28.95" customHeight="1" x14ac:dyDescent="0.55000000000000004">
      <c r="A195" s="1"/>
      <c r="B195" s="9" t="s">
        <v>804</v>
      </c>
      <c r="C195" s="170"/>
      <c r="D195" s="1"/>
      <c r="E195" s="1"/>
      <c r="F195" s="170"/>
      <c r="G195" s="170"/>
      <c r="H195" s="1"/>
      <c r="I195" s="342"/>
      <c r="J195" s="1"/>
      <c r="K195" s="1"/>
      <c r="L195" s="1"/>
      <c r="M195" s="171"/>
      <c r="N195" s="318"/>
      <c r="O195" s="234"/>
      <c r="P195" s="105"/>
      <c r="Q195" s="235"/>
      <c r="R195" s="235"/>
    </row>
    <row r="196" spans="1:18" s="117" customFormat="1" ht="21.45" customHeight="1" x14ac:dyDescent="0.35">
      <c r="A196" s="19"/>
      <c r="B196" s="17"/>
      <c r="C196" s="18"/>
      <c r="D196" s="19"/>
      <c r="E196" s="19"/>
      <c r="F196" s="18"/>
      <c r="G196" s="18"/>
      <c r="H196" s="19"/>
      <c r="I196" s="341"/>
      <c r="J196" s="19"/>
      <c r="K196" s="19"/>
      <c r="L196" s="19"/>
      <c r="M196" s="124"/>
      <c r="N196" s="318"/>
      <c r="O196" s="125"/>
      <c r="P196" s="105"/>
      <c r="Q196" s="126"/>
      <c r="R196" s="126"/>
    </row>
    <row r="197" spans="1:18" s="117" customFormat="1" ht="12.45" customHeight="1" x14ac:dyDescent="0.35">
      <c r="A197" s="19"/>
      <c r="B197" s="26" t="s">
        <v>27</v>
      </c>
      <c r="C197" s="45"/>
      <c r="D197" s="42"/>
      <c r="E197" s="28"/>
      <c r="F197" s="28" t="s">
        <v>335</v>
      </c>
      <c r="G197" s="28" t="s">
        <v>331</v>
      </c>
      <c r="H197" s="27"/>
      <c r="I197" s="180"/>
      <c r="J197" s="27"/>
      <c r="K197" s="27"/>
      <c r="L197" s="23"/>
      <c r="M197" s="149" t="s">
        <v>77</v>
      </c>
      <c r="N197" s="224" t="s">
        <v>422</v>
      </c>
      <c r="O197" s="224" t="s">
        <v>30</v>
      </c>
      <c r="P197" s="224" t="s">
        <v>90</v>
      </c>
      <c r="Q197" s="108"/>
      <c r="R197" s="133"/>
    </row>
    <row r="198" spans="1:18" s="117" customFormat="1" ht="12.45" customHeight="1" x14ac:dyDescent="0.35">
      <c r="A198" s="26"/>
      <c r="B198" s="83">
        <v>5020280013</v>
      </c>
      <c r="C198" s="26"/>
      <c r="D198" s="42"/>
      <c r="E198" s="42"/>
      <c r="F198" s="42" t="s">
        <v>805</v>
      </c>
      <c r="G198" s="42" t="s">
        <v>395</v>
      </c>
      <c r="H198" s="26"/>
      <c r="I198" s="83"/>
      <c r="J198" s="26"/>
      <c r="K198" s="93"/>
      <c r="L198" s="93"/>
      <c r="M198" s="134">
        <f>($U$3*N198)</f>
        <v>0</v>
      </c>
      <c r="N198" s="318">
        <v>37.5</v>
      </c>
      <c r="O198" s="339">
        <v>0.3</v>
      </c>
      <c r="P198" s="105">
        <f>N198*(100%-O198)</f>
        <v>26.25</v>
      </c>
      <c r="Q198" s="126"/>
      <c r="R198" s="136"/>
    </row>
    <row r="199" spans="1:18" ht="7.5" customHeight="1" x14ac:dyDescent="0.35"/>
    <row r="200" spans="1:18" ht="7.5" customHeight="1" x14ac:dyDescent="0.35"/>
    <row r="201" spans="1:18" s="236" customFormat="1" ht="28.95" customHeight="1" x14ac:dyDescent="0.55000000000000004">
      <c r="A201" s="1"/>
      <c r="B201" s="9" t="s">
        <v>808</v>
      </c>
      <c r="C201" s="170"/>
      <c r="D201" s="1"/>
      <c r="E201" s="1"/>
      <c r="F201" s="170"/>
      <c r="G201" s="170"/>
      <c r="H201" s="1"/>
      <c r="I201" s="342"/>
      <c r="J201" s="1"/>
      <c r="K201" s="1"/>
      <c r="L201" s="1"/>
      <c r="M201" s="171"/>
      <c r="N201" s="318"/>
      <c r="O201" s="234"/>
      <c r="P201" s="105"/>
      <c r="Q201" s="235"/>
      <c r="R201" s="235"/>
    </row>
    <row r="202" spans="1:18" s="117" customFormat="1" ht="12.45" customHeight="1" x14ac:dyDescent="0.35">
      <c r="A202" s="19"/>
      <c r="B202" s="17"/>
      <c r="C202" s="18"/>
      <c r="D202" s="19"/>
      <c r="E202" s="19"/>
      <c r="F202" s="18"/>
      <c r="G202" s="18"/>
      <c r="H202" s="19"/>
      <c r="I202" s="341"/>
      <c r="J202" s="19"/>
      <c r="K202" s="19"/>
      <c r="L202" s="19"/>
      <c r="M202" s="124"/>
      <c r="N202" s="318"/>
      <c r="O202" s="125"/>
      <c r="P202" s="105"/>
      <c r="Q202" s="126"/>
      <c r="R202" s="126"/>
    </row>
    <row r="203" spans="1:18" s="117" customFormat="1" ht="12.45" customHeight="1" x14ac:dyDescent="0.35">
      <c r="A203" s="19"/>
      <c r="B203" s="26" t="s">
        <v>27</v>
      </c>
      <c r="C203" s="45"/>
      <c r="D203" s="42"/>
      <c r="E203" s="28" t="s">
        <v>334</v>
      </c>
      <c r="F203" s="27" t="s">
        <v>335</v>
      </c>
      <c r="G203" s="28"/>
      <c r="H203" s="27"/>
      <c r="I203" s="180"/>
      <c r="J203" s="27"/>
      <c r="K203" s="27"/>
      <c r="L203" s="23"/>
      <c r="M203" s="149" t="s">
        <v>77</v>
      </c>
      <c r="N203" s="224" t="s">
        <v>422</v>
      </c>
      <c r="O203" s="224" t="s">
        <v>30</v>
      </c>
      <c r="P203" s="224" t="s">
        <v>90</v>
      </c>
      <c r="Q203" s="108"/>
      <c r="R203" s="133"/>
    </row>
    <row r="204" spans="1:18" s="117" customFormat="1" ht="12.45" customHeight="1" x14ac:dyDescent="0.35">
      <c r="A204" s="26"/>
      <c r="B204" s="83">
        <v>5020280014</v>
      </c>
      <c r="C204" s="26"/>
      <c r="D204" s="42"/>
      <c r="E204" s="42" t="s">
        <v>806</v>
      </c>
      <c r="F204" s="39" t="s">
        <v>815</v>
      </c>
      <c r="G204" s="42"/>
      <c r="H204" s="26"/>
      <c r="I204" s="83"/>
      <c r="J204" s="26"/>
      <c r="K204" s="93"/>
      <c r="L204" s="93"/>
      <c r="M204" s="134">
        <f>($U$3*N204)</f>
        <v>0</v>
      </c>
      <c r="N204" s="318">
        <v>15.1</v>
      </c>
      <c r="O204" s="339">
        <v>0.3</v>
      </c>
      <c r="P204" s="105">
        <f>N204*(100%-O204)</f>
        <v>10.569999999999999</v>
      </c>
      <c r="Q204" s="126"/>
      <c r="R204" s="136"/>
    </row>
    <row r="205" spans="1:18" s="117" customFormat="1" ht="12.45" customHeight="1" x14ac:dyDescent="0.35">
      <c r="A205" s="19"/>
      <c r="B205" s="83">
        <v>5020280015</v>
      </c>
      <c r="C205" s="26"/>
      <c r="D205" s="42"/>
      <c r="E205" s="42" t="s">
        <v>806</v>
      </c>
      <c r="F205" s="39" t="s">
        <v>807</v>
      </c>
      <c r="G205" s="42"/>
      <c r="H205" s="26"/>
      <c r="I205" s="83"/>
      <c r="J205" s="26"/>
      <c r="K205" s="93"/>
      <c r="L205" s="93"/>
      <c r="M205" s="134">
        <f>($U$3*N205)</f>
        <v>0</v>
      </c>
      <c r="N205" s="318">
        <v>39.5</v>
      </c>
      <c r="O205" s="339">
        <v>0.3</v>
      </c>
      <c r="P205" s="105">
        <f>N205*(100%-O205)</f>
        <v>27.65</v>
      </c>
      <c r="Q205" s="126"/>
      <c r="R205" s="140"/>
    </row>
  </sheetData>
  <sheetProtection algorithmName="SHA-512" hashValue="tuvZA9Joj1yFqwDUI5+Kfwl5csInrcw/TYOH63u1O0Cs88LUM9vRrIBVPLFq73LL99MPi72pIgYj8kUCrBvRsg==" saltValue="WJHxzs7iZPNG+zaUqyTFrA==" spinCount="100000" sheet="1" objects="1" scenarios="1"/>
  <conditionalFormatting sqref="B60:L60">
    <cfRule type="expression" dxfId="53" priority="92">
      <formula>MOD(ROW(),2)=0</formula>
    </cfRule>
  </conditionalFormatting>
  <conditionalFormatting sqref="B62:L62">
    <cfRule type="expression" dxfId="52" priority="53">
      <formula>MOD(ROW(),2)=0</formula>
    </cfRule>
  </conditionalFormatting>
  <conditionalFormatting sqref="B12:M13">
    <cfRule type="expression" dxfId="51" priority="150">
      <formula>MOD(ROW(),2)=0</formula>
    </cfRule>
  </conditionalFormatting>
  <conditionalFormatting sqref="B18:M19">
    <cfRule type="expression" dxfId="50" priority="52">
      <formula>MOD(ROW(),2)=0</formula>
    </cfRule>
  </conditionalFormatting>
  <conditionalFormatting sqref="B24:M24">
    <cfRule type="expression" dxfId="49" priority="49">
      <formula>MOD(ROW(),2)=0</formula>
    </cfRule>
  </conditionalFormatting>
  <conditionalFormatting sqref="B30:M30">
    <cfRule type="expression" dxfId="48" priority="48">
      <formula>MOD(ROW(),2)=0</formula>
    </cfRule>
  </conditionalFormatting>
  <conditionalFormatting sqref="B36:M37">
    <cfRule type="expression" dxfId="47" priority="20">
      <formula>MOD(ROW(),2)=0</formula>
    </cfRule>
  </conditionalFormatting>
  <conditionalFormatting sqref="B42:M42">
    <cfRule type="expression" dxfId="46" priority="50">
      <formula>MOD(ROW(),2)=0</formula>
    </cfRule>
  </conditionalFormatting>
  <conditionalFormatting sqref="B48:M51 B54:M57 M60:M62">
    <cfRule type="expression" dxfId="45" priority="51">
      <formula>MOD(ROW(),2)=0</formula>
    </cfRule>
  </conditionalFormatting>
  <conditionalFormatting sqref="B76:M76">
    <cfRule type="expression" dxfId="44" priority="45">
      <formula>MOD(ROW(),2)=0</formula>
    </cfRule>
  </conditionalFormatting>
  <conditionalFormatting sqref="B82:M82">
    <cfRule type="expression" dxfId="43" priority="44">
      <formula>MOD(ROW(),2)=0</formula>
    </cfRule>
  </conditionalFormatting>
  <conditionalFormatting sqref="B88:M88 O88">
    <cfRule type="expression" dxfId="42" priority="43">
      <formula>MOD(ROW(),2)=0</formula>
    </cfRule>
  </conditionalFormatting>
  <conditionalFormatting sqref="B94:M95 O94:O95">
    <cfRule type="expression" dxfId="41" priority="42">
      <formula>MOD(ROW(),2)=0</formula>
    </cfRule>
  </conditionalFormatting>
  <conditionalFormatting sqref="B100:M100 O100">
    <cfRule type="expression" dxfId="40" priority="41">
      <formula>MOD(ROW(),2)=0</formula>
    </cfRule>
  </conditionalFormatting>
  <conditionalFormatting sqref="B106:M106 O106">
    <cfRule type="expression" dxfId="39" priority="40">
      <formula>MOD(ROW(),2)=0</formula>
    </cfRule>
  </conditionalFormatting>
  <conditionalFormatting sqref="B112:M115 O112:O115">
    <cfRule type="expression" dxfId="38" priority="39">
      <formula>MOD(ROW(),2)=0</formula>
    </cfRule>
  </conditionalFormatting>
  <conditionalFormatting sqref="B120:M120 O120">
    <cfRule type="expression" dxfId="37" priority="38">
      <formula>MOD(ROW(),2)=0</formula>
    </cfRule>
  </conditionalFormatting>
  <conditionalFormatting sqref="B126:M128 O126:O128">
    <cfRule type="expression" dxfId="36" priority="37">
      <formula>MOD(ROW(),2)=0</formula>
    </cfRule>
  </conditionalFormatting>
  <conditionalFormatting sqref="B132:M132 O132">
    <cfRule type="expression" dxfId="35" priority="36">
      <formula>MOD(ROW(),2)=0</formula>
    </cfRule>
  </conditionalFormatting>
  <conditionalFormatting sqref="B138:M138 O138">
    <cfRule type="expression" dxfId="34" priority="35">
      <formula>MOD(ROW(),2)=0</formula>
    </cfRule>
  </conditionalFormatting>
  <conditionalFormatting sqref="B144:M144 O144">
    <cfRule type="expression" dxfId="33" priority="34">
      <formula>MOD(ROW(),2)=0</formula>
    </cfRule>
  </conditionalFormatting>
  <conditionalFormatting sqref="B150:M150 O150">
    <cfRule type="expression" dxfId="32" priority="33">
      <formula>MOD(ROW(),2)=0</formula>
    </cfRule>
  </conditionalFormatting>
  <conditionalFormatting sqref="B156:M156 O156">
    <cfRule type="expression" dxfId="31" priority="32">
      <formula>MOD(ROW(),2)=0</formula>
    </cfRule>
  </conditionalFormatting>
  <conditionalFormatting sqref="B162:M163 O162:O163">
    <cfRule type="expression" dxfId="30" priority="31">
      <formula>MOD(ROW(),2)=0</formula>
    </cfRule>
  </conditionalFormatting>
  <conditionalFormatting sqref="B168:M169 O168:O169">
    <cfRule type="expression" dxfId="29" priority="30">
      <formula>MOD(ROW(),2)=0</formula>
    </cfRule>
  </conditionalFormatting>
  <conditionalFormatting sqref="B174:M174 O174">
    <cfRule type="expression" dxfId="28" priority="16">
      <formula>MOD(ROW(),2)=0</formula>
    </cfRule>
  </conditionalFormatting>
  <conditionalFormatting sqref="B180:M181 O180:O181">
    <cfRule type="expression" dxfId="27" priority="13">
      <formula>MOD(ROW(),2)=0</formula>
    </cfRule>
  </conditionalFormatting>
  <conditionalFormatting sqref="B186:M186 O186">
    <cfRule type="expression" dxfId="26" priority="10">
      <formula>MOD(ROW(),2)=0</formula>
    </cfRule>
  </conditionalFormatting>
  <conditionalFormatting sqref="B192:M193 O192:O193">
    <cfRule type="expression" dxfId="25" priority="7">
      <formula>MOD(ROW(),2)=0</formula>
    </cfRule>
  </conditionalFormatting>
  <conditionalFormatting sqref="B198:M198 O198">
    <cfRule type="expression" dxfId="24" priority="4">
      <formula>MOD(ROW(),2)=0</formula>
    </cfRule>
  </conditionalFormatting>
  <conditionalFormatting sqref="B204:M205 O204:O205">
    <cfRule type="expression" dxfId="23" priority="1">
      <formula>MOD(ROW(),2)=0</formula>
    </cfRule>
  </conditionalFormatting>
  <conditionalFormatting sqref="C68:C71">
    <cfRule type="expression" dxfId="22" priority="88">
      <formula>MOD(ROW(),2)=0</formula>
    </cfRule>
  </conditionalFormatting>
  <conditionalFormatting sqref="D6 B6:M7">
    <cfRule type="expression" dxfId="21" priority="152">
      <formula>MOD(ROW(),2)=0</formula>
    </cfRule>
  </conditionalFormatting>
  <conditionalFormatting sqref="M68">
    <cfRule type="expression" dxfId="20" priority="47">
      <formula>MOD(ROW(),2)=0</formula>
    </cfRule>
  </conditionalFormatting>
  <conditionalFormatting sqref="M70">
    <cfRule type="expression" dxfId="19" priority="46">
      <formula>MOD(ROW(),2)=0</formula>
    </cfRule>
  </conditionalFormatting>
  <conditionalFormatting sqref="O6:O7 O12:O13 B68:L70 B71:M71">
    <cfRule type="expression" dxfId="18" priority="155">
      <formula>MOD(ROW(),2)=0</formula>
    </cfRule>
  </conditionalFormatting>
  <conditionalFormatting sqref="O18:O19">
    <cfRule type="expression" dxfId="17" priority="29">
      <formula>MOD(ROW(),2)=0</formula>
    </cfRule>
  </conditionalFormatting>
  <conditionalFormatting sqref="O24:O25">
    <cfRule type="expression" dxfId="16" priority="28">
      <formula>MOD(ROW(),2)=0</formula>
    </cfRule>
  </conditionalFormatting>
  <conditionalFormatting sqref="O30">
    <cfRule type="expression" dxfId="15" priority="27">
      <formula>MOD(ROW(),2)=0</formula>
    </cfRule>
  </conditionalFormatting>
  <conditionalFormatting sqref="O36:O37">
    <cfRule type="expression" dxfId="14" priority="19">
      <formula>MOD(ROW(),2)=0</formula>
    </cfRule>
  </conditionalFormatting>
  <conditionalFormatting sqref="O42">
    <cfRule type="expression" dxfId="13" priority="26">
      <formula>MOD(ROW(),2)=0</formula>
    </cfRule>
  </conditionalFormatting>
  <conditionalFormatting sqref="O48:O62">
    <cfRule type="expression" dxfId="12" priority="25">
      <formula>MOD(ROW(),2)=0</formula>
    </cfRule>
  </conditionalFormatting>
  <conditionalFormatting sqref="O69:O71">
    <cfRule type="expression" dxfId="11" priority="23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0" orientation="portrait" r:id="rId1"/>
  <headerFooter>
    <oddHeader>&amp;L&amp;G&amp;R&amp;"Century Gothic,Fett"&amp;16&amp;A</oddHeader>
  </headerFooter>
  <rowBreaks count="3" manualBreakCount="3">
    <brk id="64" max="12" man="1"/>
    <brk id="121" max="12" man="1"/>
    <brk id="175" max="16383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theme="1" tint="0.499984740745262"/>
  </sheetPr>
  <dimension ref="A1:T226"/>
  <sheetViews>
    <sheetView showGridLines="0" view="pageBreakPreview" topLeftCell="A154" zoomScaleNormal="100" zoomScaleSheetLayoutView="100" workbookViewId="0">
      <selection activeCell="A192" sqref="A192"/>
    </sheetView>
  </sheetViews>
  <sheetFormatPr baseColWidth="10" defaultColWidth="11" defaultRowHeight="18" x14ac:dyDescent="0.55000000000000004"/>
  <cols>
    <col min="1" max="1" width="11" style="1"/>
    <col min="2" max="2" width="7.875" style="1" bestFit="1" customWidth="1"/>
    <col min="3" max="11" width="4.75" style="170" customWidth="1"/>
    <col min="12" max="12" width="4.75" style="1" customWidth="1"/>
    <col min="13" max="16384" width="11" style="1"/>
  </cols>
  <sheetData>
    <row r="1" spans="1:20" x14ac:dyDescent="0.55000000000000004">
      <c r="A1" s="17" t="s">
        <v>203</v>
      </c>
      <c r="B1" s="18"/>
      <c r="C1" s="18"/>
      <c r="D1" s="18"/>
      <c r="E1" s="18"/>
      <c r="F1" s="18"/>
    </row>
    <row r="2" spans="1:20" s="179" customFormat="1" ht="11.6" x14ac:dyDescent="0.35">
      <c r="C2" s="237"/>
      <c r="D2" s="237"/>
      <c r="E2" s="237"/>
      <c r="F2" s="237"/>
      <c r="G2" s="237"/>
      <c r="H2" s="237"/>
      <c r="I2" s="237"/>
      <c r="J2" s="237"/>
      <c r="K2" s="237"/>
    </row>
    <row r="3" spans="1:20" s="239" customFormat="1" ht="14.6" x14ac:dyDescent="0.45">
      <c r="A3" s="238" t="s">
        <v>204</v>
      </c>
      <c r="C3" s="240"/>
      <c r="D3" s="240"/>
      <c r="E3" s="240"/>
      <c r="F3" s="240"/>
      <c r="G3" s="240"/>
      <c r="H3" s="240"/>
      <c r="I3" s="240"/>
      <c r="J3" s="240"/>
      <c r="K3" s="240"/>
    </row>
    <row r="4" spans="1:20" s="241" customFormat="1" ht="23.15" x14ac:dyDescent="0.35">
      <c r="B4" s="241" t="s">
        <v>206</v>
      </c>
      <c r="C4" s="242">
        <v>0.5</v>
      </c>
      <c r="D4" s="242" t="s">
        <v>207</v>
      </c>
      <c r="E4" s="242">
        <v>0.65</v>
      </c>
      <c r="F4" s="242" t="s">
        <v>208</v>
      </c>
      <c r="G4" s="242" t="s">
        <v>209</v>
      </c>
      <c r="H4" s="242">
        <v>1</v>
      </c>
      <c r="I4" s="242">
        <v>1.2</v>
      </c>
      <c r="J4" s="242">
        <v>1.5</v>
      </c>
      <c r="K4" s="242">
        <v>2</v>
      </c>
    </row>
    <row r="5" spans="1:20" s="179" customFormat="1" ht="10.5" customHeight="1" x14ac:dyDescent="0.35">
      <c r="A5" s="178" t="s">
        <v>205</v>
      </c>
      <c r="C5" s="243"/>
      <c r="D5" s="243"/>
      <c r="E5" s="243"/>
      <c r="F5" s="243"/>
      <c r="G5" s="243"/>
      <c r="H5" s="243"/>
      <c r="I5" s="243"/>
      <c r="J5" s="243"/>
      <c r="K5" s="243"/>
    </row>
    <row r="6" spans="1:20" s="117" customFormat="1" ht="12.45" customHeight="1" x14ac:dyDescent="0.35">
      <c r="A6" s="103" t="s">
        <v>210</v>
      </c>
      <c r="B6" s="103"/>
      <c r="C6" s="244"/>
      <c r="D6" s="244">
        <v>10.8</v>
      </c>
      <c r="E6" s="244">
        <v>11.7</v>
      </c>
      <c r="F6" s="244">
        <v>12.6</v>
      </c>
      <c r="G6" s="244">
        <v>14.4</v>
      </c>
      <c r="H6" s="244">
        <v>18</v>
      </c>
      <c r="I6" s="244"/>
      <c r="J6" s="244">
        <v>27</v>
      </c>
      <c r="K6" s="244">
        <v>36</v>
      </c>
      <c r="L6" s="101"/>
      <c r="M6" s="101"/>
      <c r="N6" s="105"/>
      <c r="Q6" s="86"/>
      <c r="R6" s="94"/>
      <c r="S6" s="45"/>
      <c r="T6" s="95"/>
    </row>
    <row r="7" spans="1:20" s="117" customFormat="1" ht="12.45" customHeight="1" x14ac:dyDescent="0.35">
      <c r="A7" s="103" t="s">
        <v>212</v>
      </c>
      <c r="B7" s="103"/>
      <c r="C7" s="244"/>
      <c r="D7" s="244"/>
      <c r="E7" s="244"/>
      <c r="F7" s="244">
        <v>18.899999999999999</v>
      </c>
      <c r="G7" s="244"/>
      <c r="H7" s="244"/>
      <c r="I7" s="244"/>
      <c r="J7" s="244"/>
      <c r="K7" s="244"/>
      <c r="L7" s="101"/>
      <c r="M7" s="101"/>
      <c r="N7" s="105"/>
      <c r="Q7" s="86"/>
      <c r="R7" s="94"/>
      <c r="S7" s="45"/>
      <c r="T7" s="95"/>
    </row>
    <row r="8" spans="1:20" s="117" customFormat="1" ht="12.45" customHeight="1" x14ac:dyDescent="0.35">
      <c r="A8" s="103"/>
      <c r="B8" s="103"/>
      <c r="C8" s="244"/>
      <c r="D8" s="244"/>
      <c r="E8" s="244"/>
      <c r="F8" s="244"/>
      <c r="G8" s="244"/>
      <c r="H8" s="244"/>
      <c r="I8" s="244"/>
      <c r="J8" s="244"/>
      <c r="K8" s="244"/>
      <c r="L8" s="101"/>
      <c r="M8" s="101"/>
      <c r="N8" s="105"/>
      <c r="Q8" s="86"/>
      <c r="R8" s="94"/>
      <c r="S8" s="45"/>
      <c r="T8" s="95"/>
    </row>
    <row r="9" spans="1:20" s="117" customFormat="1" ht="10.5" customHeight="1" x14ac:dyDescent="0.35">
      <c r="A9" s="82" t="s">
        <v>211</v>
      </c>
      <c r="B9" s="82"/>
      <c r="C9" s="245"/>
      <c r="D9" s="245"/>
      <c r="E9" s="245"/>
      <c r="F9" s="245"/>
      <c r="G9" s="245"/>
      <c r="H9" s="245"/>
      <c r="I9" s="245"/>
      <c r="J9" s="245"/>
      <c r="K9" s="245"/>
      <c r="L9" s="52"/>
      <c r="M9" s="52"/>
      <c r="N9" s="106"/>
      <c r="Q9" s="86"/>
      <c r="R9" s="94"/>
      <c r="S9" s="45"/>
      <c r="T9" s="95"/>
    </row>
    <row r="10" spans="1:20" s="117" customFormat="1" ht="12.45" customHeight="1" x14ac:dyDescent="0.35">
      <c r="A10" s="103" t="s">
        <v>210</v>
      </c>
      <c r="B10" s="103"/>
      <c r="C10" s="244"/>
      <c r="D10" s="244">
        <v>10</v>
      </c>
      <c r="E10" s="244"/>
      <c r="F10" s="244">
        <v>12</v>
      </c>
      <c r="G10" s="244">
        <v>14</v>
      </c>
      <c r="H10" s="244">
        <v>16</v>
      </c>
      <c r="I10" s="244"/>
      <c r="J10" s="244">
        <v>24</v>
      </c>
      <c r="K10" s="244">
        <v>32</v>
      </c>
      <c r="L10" s="101"/>
      <c r="M10" s="101"/>
      <c r="N10" s="105"/>
      <c r="Q10" s="86"/>
      <c r="R10" s="94"/>
      <c r="S10" s="45"/>
      <c r="T10" s="95"/>
    </row>
    <row r="11" spans="1:20" s="117" customFormat="1" ht="12.45" customHeight="1" x14ac:dyDescent="0.35">
      <c r="A11" s="103" t="s">
        <v>213</v>
      </c>
      <c r="B11" s="103"/>
      <c r="C11" s="244"/>
      <c r="D11" s="244"/>
      <c r="E11" s="244"/>
      <c r="F11" s="244">
        <v>19</v>
      </c>
      <c r="G11" s="244"/>
      <c r="H11" s="244">
        <v>25</v>
      </c>
      <c r="I11" s="244"/>
      <c r="J11" s="244">
        <v>38</v>
      </c>
      <c r="K11" s="244"/>
      <c r="L11" s="101"/>
      <c r="M11" s="101"/>
      <c r="N11" s="105"/>
      <c r="Q11" s="86"/>
      <c r="R11" s="94"/>
      <c r="S11" s="45"/>
      <c r="T11" s="95"/>
    </row>
    <row r="12" spans="1:20" s="117" customFormat="1" ht="12.45" customHeight="1" x14ac:dyDescent="0.35">
      <c r="A12" s="103" t="s">
        <v>214</v>
      </c>
      <c r="B12" s="103"/>
      <c r="C12" s="244"/>
      <c r="D12" s="244"/>
      <c r="E12" s="244"/>
      <c r="F12" s="244">
        <v>27</v>
      </c>
      <c r="G12" s="244"/>
      <c r="H12" s="244">
        <v>36</v>
      </c>
      <c r="I12" s="244"/>
      <c r="J12" s="244"/>
      <c r="K12" s="244"/>
      <c r="L12" s="101"/>
      <c r="M12" s="101"/>
      <c r="N12" s="105"/>
      <c r="Q12" s="86"/>
      <c r="R12" s="94"/>
      <c r="S12" s="45"/>
      <c r="T12" s="95"/>
    </row>
    <row r="13" spans="1:20" s="179" customFormat="1" ht="6.45" customHeight="1" x14ac:dyDescent="0.35">
      <c r="A13" s="82"/>
      <c r="B13" s="82"/>
      <c r="C13" s="245"/>
      <c r="D13" s="245"/>
      <c r="E13" s="245"/>
      <c r="F13" s="245"/>
      <c r="G13" s="245"/>
      <c r="H13" s="245"/>
      <c r="I13" s="245"/>
      <c r="J13" s="245"/>
      <c r="K13" s="245"/>
    </row>
    <row r="14" spans="1:20" s="179" customFormat="1" ht="6.45" customHeight="1" x14ac:dyDescent="0.35">
      <c r="A14" s="82"/>
      <c r="B14" s="82"/>
      <c r="C14" s="245"/>
      <c r="D14" s="245"/>
      <c r="E14" s="245"/>
      <c r="F14" s="245"/>
      <c r="G14" s="245"/>
      <c r="H14" s="245"/>
      <c r="I14" s="245"/>
      <c r="J14" s="245"/>
      <c r="K14" s="245"/>
    </row>
    <row r="15" spans="1:20" s="179" customFormat="1" ht="10.5" customHeight="1" x14ac:dyDescent="0.35">
      <c r="A15" s="82" t="s">
        <v>215</v>
      </c>
      <c r="B15" s="82"/>
      <c r="C15" s="245"/>
      <c r="D15" s="245"/>
      <c r="E15" s="245"/>
      <c r="F15" s="245"/>
      <c r="G15" s="245"/>
      <c r="H15" s="245"/>
      <c r="I15" s="245"/>
      <c r="J15" s="245"/>
      <c r="K15" s="245"/>
    </row>
    <row r="16" spans="1:20" s="179" customFormat="1" ht="12.45" customHeight="1" x14ac:dyDescent="0.35">
      <c r="A16" s="103" t="s">
        <v>210</v>
      </c>
      <c r="B16" s="103"/>
      <c r="C16" s="244"/>
      <c r="D16" s="244">
        <v>8.6999999999999993</v>
      </c>
      <c r="E16" s="244">
        <v>9.4</v>
      </c>
      <c r="F16" s="244">
        <v>10.1</v>
      </c>
      <c r="G16" s="244">
        <v>11.6</v>
      </c>
      <c r="H16" s="244">
        <v>14.5</v>
      </c>
      <c r="I16" s="244"/>
      <c r="J16" s="244">
        <v>21.6</v>
      </c>
      <c r="K16" s="244">
        <v>30</v>
      </c>
    </row>
    <row r="17" spans="1:11" s="179" customFormat="1" ht="12.45" customHeight="1" x14ac:dyDescent="0.35">
      <c r="A17" s="103" t="s">
        <v>212</v>
      </c>
      <c r="B17" s="103"/>
      <c r="C17" s="244"/>
      <c r="D17" s="244"/>
      <c r="E17" s="244"/>
      <c r="F17" s="244">
        <v>15.2</v>
      </c>
      <c r="G17" s="244"/>
      <c r="H17" s="244"/>
      <c r="I17" s="244"/>
      <c r="J17" s="244"/>
      <c r="K17" s="244"/>
    </row>
    <row r="18" spans="1:11" s="179" customFormat="1" ht="11.6" x14ac:dyDescent="0.35">
      <c r="A18" s="82"/>
      <c r="B18" s="82"/>
      <c r="C18" s="245"/>
      <c r="D18" s="245"/>
      <c r="E18" s="245"/>
      <c r="F18" s="245"/>
      <c r="G18" s="245"/>
      <c r="H18" s="245"/>
      <c r="I18" s="245"/>
      <c r="J18" s="245"/>
      <c r="K18" s="245"/>
    </row>
    <row r="19" spans="1:11" s="179" customFormat="1" ht="10.5" customHeight="1" x14ac:dyDescent="0.35">
      <c r="A19" s="82" t="s">
        <v>216</v>
      </c>
      <c r="B19" s="82"/>
      <c r="C19" s="245"/>
      <c r="D19" s="245"/>
      <c r="E19" s="245"/>
      <c r="F19" s="245"/>
      <c r="G19" s="245"/>
      <c r="H19" s="245"/>
      <c r="I19" s="245"/>
      <c r="J19" s="245"/>
      <c r="K19" s="245"/>
    </row>
    <row r="20" spans="1:11" s="179" customFormat="1" ht="12.45" customHeight="1" x14ac:dyDescent="0.35">
      <c r="A20" s="103" t="s">
        <v>210</v>
      </c>
      <c r="B20" s="103"/>
      <c r="C20" s="244"/>
      <c r="D20" s="244"/>
      <c r="E20" s="244"/>
      <c r="F20" s="244">
        <v>3.85</v>
      </c>
      <c r="G20" s="244">
        <v>4.4000000000000004</v>
      </c>
      <c r="H20" s="244">
        <v>5.5</v>
      </c>
      <c r="I20" s="244">
        <v>6.6</v>
      </c>
      <c r="J20" s="244">
        <v>8.3000000000000007</v>
      </c>
      <c r="K20" s="244">
        <v>11</v>
      </c>
    </row>
    <row r="21" spans="1:11" s="179" customFormat="1" ht="12.45" customHeight="1" x14ac:dyDescent="0.35">
      <c r="A21" s="103" t="s">
        <v>213</v>
      </c>
      <c r="B21" s="103"/>
      <c r="C21" s="244"/>
      <c r="D21" s="244"/>
      <c r="E21" s="244"/>
      <c r="F21" s="244"/>
      <c r="G21" s="244"/>
      <c r="H21" s="244">
        <v>8.6999999999999993</v>
      </c>
      <c r="I21" s="244"/>
      <c r="J21" s="244">
        <v>13.5</v>
      </c>
      <c r="K21" s="244">
        <v>17.22</v>
      </c>
    </row>
    <row r="22" spans="1:11" s="179" customFormat="1" ht="12.45" customHeight="1" x14ac:dyDescent="0.35">
      <c r="A22" s="103" t="s">
        <v>214</v>
      </c>
      <c r="B22" s="103"/>
      <c r="C22" s="244"/>
      <c r="D22" s="244"/>
      <c r="E22" s="244"/>
      <c r="F22" s="244"/>
      <c r="G22" s="244"/>
      <c r="H22" s="244">
        <v>12.5</v>
      </c>
      <c r="I22" s="244"/>
      <c r="J22" s="244"/>
      <c r="K22" s="244"/>
    </row>
    <row r="23" spans="1:11" s="179" customFormat="1" ht="6.45" customHeight="1" x14ac:dyDescent="0.35">
      <c r="A23" s="82"/>
      <c r="B23" s="82"/>
      <c r="C23" s="245"/>
      <c r="D23" s="245"/>
      <c r="E23" s="245"/>
      <c r="F23" s="245"/>
      <c r="G23" s="245"/>
      <c r="H23" s="245"/>
      <c r="I23" s="245"/>
      <c r="J23" s="245"/>
      <c r="K23" s="245"/>
    </row>
    <row r="24" spans="1:11" s="179" customFormat="1" ht="6.45" customHeight="1" x14ac:dyDescent="0.35">
      <c r="A24" s="82"/>
      <c r="B24" s="82"/>
      <c r="C24" s="245"/>
      <c r="D24" s="245"/>
      <c r="E24" s="245"/>
      <c r="F24" s="245"/>
      <c r="G24" s="245"/>
      <c r="H24" s="245"/>
      <c r="I24" s="245"/>
      <c r="J24" s="245"/>
      <c r="K24" s="245"/>
    </row>
    <row r="25" spans="1:11" s="179" customFormat="1" ht="10.5" customHeight="1" x14ac:dyDescent="0.35">
      <c r="A25" s="82" t="s">
        <v>217</v>
      </c>
      <c r="B25" s="82"/>
      <c r="C25" s="245"/>
      <c r="D25" s="245"/>
      <c r="E25" s="245"/>
      <c r="F25" s="245"/>
      <c r="G25" s="245"/>
      <c r="H25" s="245"/>
      <c r="I25" s="245"/>
      <c r="J25" s="245"/>
      <c r="K25" s="245"/>
    </row>
    <row r="26" spans="1:11" s="179" customFormat="1" ht="12.45" customHeight="1" x14ac:dyDescent="0.35">
      <c r="A26" s="103" t="s">
        <v>210</v>
      </c>
      <c r="B26" s="103"/>
      <c r="C26" s="244">
        <v>8</v>
      </c>
      <c r="D26" s="244">
        <v>10</v>
      </c>
      <c r="E26" s="244"/>
      <c r="F26" s="244">
        <v>12</v>
      </c>
      <c r="G26" s="244">
        <v>13</v>
      </c>
      <c r="H26" s="244">
        <v>16</v>
      </c>
      <c r="I26" s="244"/>
      <c r="J26" s="244">
        <v>24</v>
      </c>
      <c r="K26" s="244">
        <v>32</v>
      </c>
    </row>
    <row r="27" spans="1:11" ht="12.45" customHeight="1" x14ac:dyDescent="0.55000000000000004">
      <c r="A27" s="103" t="s">
        <v>213</v>
      </c>
      <c r="B27" s="103"/>
      <c r="C27" s="244"/>
      <c r="D27" s="244"/>
      <c r="E27" s="244"/>
      <c r="F27" s="244">
        <v>19</v>
      </c>
      <c r="G27" s="244"/>
      <c r="H27" s="244">
        <v>25</v>
      </c>
      <c r="I27" s="244"/>
      <c r="J27" s="244">
        <v>37.5</v>
      </c>
      <c r="K27" s="244"/>
    </row>
    <row r="28" spans="1:11" ht="12.45" customHeight="1" x14ac:dyDescent="0.55000000000000004">
      <c r="A28" s="103" t="s">
        <v>214</v>
      </c>
      <c r="B28" s="103"/>
      <c r="C28" s="244"/>
      <c r="D28" s="244"/>
      <c r="E28" s="244"/>
      <c r="F28" s="244"/>
      <c r="G28" s="244"/>
      <c r="H28" s="244">
        <v>36</v>
      </c>
      <c r="I28" s="244"/>
      <c r="J28" s="244"/>
      <c r="K28" s="244"/>
    </row>
    <row r="29" spans="1:11" ht="6.45" customHeight="1" x14ac:dyDescent="0.55000000000000004">
      <c r="A29" s="103"/>
      <c r="B29" s="103"/>
      <c r="C29" s="244"/>
      <c r="D29" s="244"/>
      <c r="E29" s="244"/>
      <c r="F29" s="244"/>
      <c r="G29" s="244"/>
      <c r="H29" s="244"/>
      <c r="I29" s="244"/>
      <c r="J29" s="244"/>
      <c r="K29" s="244"/>
    </row>
    <row r="30" spans="1:11" ht="6.45" customHeight="1" x14ac:dyDescent="0.55000000000000004">
      <c r="A30" s="82"/>
      <c r="B30" s="82"/>
      <c r="C30" s="245"/>
      <c r="D30" s="245"/>
      <c r="E30" s="245"/>
      <c r="F30" s="245"/>
      <c r="G30" s="245"/>
      <c r="H30" s="245"/>
      <c r="I30" s="245"/>
      <c r="J30" s="245"/>
      <c r="K30" s="245"/>
    </row>
    <row r="31" spans="1:11" ht="10.5" customHeight="1" x14ac:dyDescent="0.55000000000000004">
      <c r="A31" s="82" t="s">
        <v>218</v>
      </c>
      <c r="B31" s="82"/>
      <c r="C31" s="245"/>
      <c r="D31" s="245"/>
      <c r="E31" s="245"/>
      <c r="F31" s="245"/>
      <c r="G31" s="245"/>
      <c r="H31" s="245"/>
      <c r="I31" s="245"/>
      <c r="J31" s="245"/>
      <c r="K31" s="245"/>
    </row>
    <row r="32" spans="1:11" ht="12.45" customHeight="1" x14ac:dyDescent="0.55000000000000004">
      <c r="A32" s="103" t="s">
        <v>210</v>
      </c>
      <c r="B32" s="103"/>
      <c r="C32" s="244">
        <v>8</v>
      </c>
      <c r="D32" s="244"/>
      <c r="E32" s="244"/>
      <c r="F32" s="244"/>
      <c r="G32" s="244"/>
      <c r="H32" s="244"/>
      <c r="I32" s="244"/>
      <c r="J32" s="244"/>
      <c r="K32" s="244"/>
    </row>
    <row r="33" spans="1:11" ht="6.45" customHeight="1" x14ac:dyDescent="0.55000000000000004">
      <c r="A33" s="103"/>
      <c r="B33" s="103"/>
      <c r="C33" s="244"/>
      <c r="D33" s="244"/>
      <c r="E33" s="244"/>
      <c r="F33" s="244"/>
      <c r="G33" s="244"/>
      <c r="H33" s="244"/>
      <c r="I33" s="244"/>
      <c r="J33" s="244"/>
      <c r="K33" s="244"/>
    </row>
    <row r="34" spans="1:11" ht="6.45" customHeight="1" x14ac:dyDescent="0.55000000000000004">
      <c r="A34" s="82"/>
      <c r="B34" s="82"/>
      <c r="C34" s="245"/>
      <c r="D34" s="245"/>
      <c r="E34" s="245"/>
      <c r="F34" s="245"/>
      <c r="G34" s="245"/>
      <c r="H34" s="245"/>
      <c r="I34" s="245"/>
      <c r="J34" s="245"/>
      <c r="K34" s="245"/>
    </row>
    <row r="35" spans="1:11" ht="10.5" customHeight="1" x14ac:dyDescent="0.55000000000000004">
      <c r="A35" s="82" t="s">
        <v>219</v>
      </c>
      <c r="B35" s="82"/>
      <c r="C35" s="245"/>
      <c r="D35" s="245"/>
      <c r="E35" s="245"/>
      <c r="F35" s="245"/>
      <c r="G35" s="245"/>
      <c r="H35" s="245"/>
      <c r="I35" s="245"/>
      <c r="J35" s="245"/>
      <c r="K35" s="245"/>
    </row>
    <row r="36" spans="1:11" ht="12.45" customHeight="1" x14ac:dyDescent="0.55000000000000004">
      <c r="A36" s="103" t="s">
        <v>288</v>
      </c>
      <c r="B36" s="103"/>
      <c r="C36" s="244"/>
      <c r="D36" s="244"/>
      <c r="E36" s="244"/>
      <c r="F36" s="244">
        <v>15</v>
      </c>
      <c r="G36" s="244"/>
      <c r="H36" s="244"/>
      <c r="I36" s="244"/>
      <c r="J36" s="244"/>
      <c r="K36" s="244"/>
    </row>
    <row r="37" spans="1:11" ht="6.45" customHeight="1" x14ac:dyDescent="0.55000000000000004">
      <c r="C37" s="246"/>
      <c r="D37" s="246"/>
      <c r="E37" s="246"/>
      <c r="F37" s="246"/>
      <c r="G37" s="246"/>
      <c r="H37" s="246"/>
      <c r="I37" s="246"/>
      <c r="J37" s="246"/>
      <c r="K37" s="246"/>
    </row>
    <row r="38" spans="1:11" ht="6.45" customHeight="1" x14ac:dyDescent="0.55000000000000004">
      <c r="C38" s="246"/>
      <c r="D38" s="246"/>
      <c r="E38" s="246"/>
      <c r="F38" s="246"/>
      <c r="G38" s="246"/>
      <c r="H38" s="246"/>
      <c r="I38" s="246"/>
      <c r="J38" s="246"/>
      <c r="K38" s="246"/>
    </row>
    <row r="39" spans="1:11" ht="10.5" customHeight="1" x14ac:dyDescent="0.55000000000000004">
      <c r="A39" s="82" t="s">
        <v>224</v>
      </c>
      <c r="B39" s="82"/>
      <c r="C39" s="245"/>
      <c r="D39" s="245"/>
      <c r="E39" s="245"/>
      <c r="F39" s="245"/>
      <c r="G39" s="245"/>
      <c r="H39" s="245"/>
      <c r="I39" s="245"/>
      <c r="J39" s="245"/>
      <c r="K39" s="245"/>
    </row>
    <row r="40" spans="1:11" ht="12.45" customHeight="1" x14ac:dyDescent="0.55000000000000004">
      <c r="A40" s="103" t="s">
        <v>210</v>
      </c>
      <c r="B40" s="103"/>
      <c r="C40" s="244"/>
      <c r="D40" s="244"/>
      <c r="E40" s="244"/>
      <c r="F40" s="244">
        <v>4</v>
      </c>
      <c r="G40" s="244"/>
      <c r="H40" s="244"/>
      <c r="I40" s="244"/>
      <c r="J40" s="244"/>
      <c r="K40" s="244"/>
    </row>
    <row r="41" spans="1:11" x14ac:dyDescent="0.55000000000000004">
      <c r="A41" s="103"/>
      <c r="B41" s="103"/>
      <c r="C41" s="218"/>
      <c r="D41" s="218"/>
      <c r="E41" s="218"/>
      <c r="F41" s="218"/>
      <c r="G41" s="218"/>
      <c r="H41" s="218"/>
      <c r="I41" s="218"/>
      <c r="J41" s="218"/>
      <c r="K41" s="218"/>
    </row>
    <row r="42" spans="1:11" ht="7.5" customHeight="1" x14ac:dyDescent="0.55000000000000004">
      <c r="A42" s="103"/>
      <c r="B42" s="103"/>
      <c r="C42" s="218"/>
      <c r="D42" s="218"/>
      <c r="E42" s="218"/>
      <c r="F42" s="218"/>
      <c r="G42" s="218"/>
      <c r="H42" s="218"/>
      <c r="I42" s="218"/>
      <c r="J42" s="218"/>
      <c r="K42" s="218"/>
    </row>
    <row r="43" spans="1:11" ht="7.5" customHeight="1" x14ac:dyDescent="0.55000000000000004">
      <c r="A43" s="103"/>
      <c r="B43" s="103"/>
      <c r="C43" s="218"/>
      <c r="D43" s="218"/>
      <c r="E43" s="218"/>
      <c r="F43" s="218"/>
      <c r="G43" s="218"/>
      <c r="H43" s="218"/>
      <c r="I43" s="218"/>
      <c r="J43" s="218"/>
      <c r="K43" s="218"/>
    </row>
    <row r="44" spans="1:11" s="239" customFormat="1" ht="14.6" x14ac:dyDescent="0.45">
      <c r="A44" s="238" t="s">
        <v>220</v>
      </c>
      <c r="C44" s="240"/>
      <c r="D44" s="240"/>
      <c r="E44" s="240"/>
      <c r="F44" s="240"/>
      <c r="G44" s="240"/>
      <c r="H44" s="240"/>
      <c r="I44" s="240"/>
      <c r="J44" s="240"/>
      <c r="K44" s="240"/>
    </row>
    <row r="45" spans="1:11" s="179" customFormat="1" ht="11.6" x14ac:dyDescent="0.35">
      <c r="A45" s="247"/>
      <c r="C45" s="237"/>
      <c r="D45" s="237"/>
      <c r="E45" s="237"/>
      <c r="F45" s="237"/>
      <c r="G45" s="237"/>
      <c r="H45" s="237"/>
      <c r="I45" s="237"/>
      <c r="J45" s="237"/>
      <c r="K45" s="237"/>
    </row>
    <row r="46" spans="1:11" s="241" customFormat="1" ht="11.6" x14ac:dyDescent="0.35">
      <c r="B46" s="241" t="s">
        <v>206</v>
      </c>
      <c r="C46" s="242" t="s">
        <v>222</v>
      </c>
      <c r="D46" s="242" t="s">
        <v>223</v>
      </c>
      <c r="E46" s="248"/>
      <c r="F46" s="248"/>
      <c r="G46" s="248"/>
      <c r="H46" s="248"/>
      <c r="I46" s="248"/>
      <c r="J46" s="248"/>
      <c r="K46" s="248"/>
    </row>
    <row r="47" spans="1:11" ht="10.5" customHeight="1" x14ac:dyDescent="0.55000000000000004">
      <c r="A47" s="82" t="s">
        <v>221</v>
      </c>
      <c r="B47" s="103"/>
      <c r="C47" s="244"/>
      <c r="D47" s="244"/>
      <c r="E47" s="218"/>
      <c r="F47" s="218"/>
      <c r="G47" s="218"/>
      <c r="H47" s="218"/>
      <c r="I47" s="218"/>
      <c r="J47" s="218"/>
      <c r="K47" s="218"/>
    </row>
    <row r="48" spans="1:11" ht="12.45" customHeight="1" x14ac:dyDescent="0.55000000000000004">
      <c r="A48" s="103" t="s">
        <v>210</v>
      </c>
      <c r="B48" s="103"/>
      <c r="C48" s="244">
        <v>9</v>
      </c>
      <c r="D48" s="244">
        <v>15</v>
      </c>
      <c r="E48" s="218"/>
      <c r="F48" s="218"/>
      <c r="G48" s="218"/>
      <c r="H48" s="218"/>
      <c r="I48" s="218"/>
      <c r="J48" s="218"/>
      <c r="K48" s="218"/>
    </row>
    <row r="55" spans="1:20" s="239" customFormat="1" ht="15" customHeight="1" x14ac:dyDescent="0.45">
      <c r="A55" s="238" t="s">
        <v>247</v>
      </c>
      <c r="C55" s="240"/>
      <c r="D55" s="240"/>
      <c r="E55" s="240"/>
      <c r="F55" s="240"/>
      <c r="G55" s="240"/>
      <c r="H55" s="240"/>
      <c r="I55" s="240"/>
      <c r="J55" s="240"/>
      <c r="K55" s="240"/>
    </row>
    <row r="56" spans="1:20" s="239" customFormat="1" ht="15" customHeight="1" x14ac:dyDescent="0.45">
      <c r="A56" s="178" t="s">
        <v>225</v>
      </c>
      <c r="C56" s="240"/>
      <c r="D56" s="240"/>
      <c r="E56" s="240"/>
      <c r="F56" s="240"/>
      <c r="G56" s="240"/>
      <c r="H56" s="240"/>
      <c r="I56" s="240"/>
      <c r="J56" s="240"/>
      <c r="K56" s="240"/>
    </row>
    <row r="57" spans="1:20" s="241" customFormat="1" ht="11.6" x14ac:dyDescent="0.35">
      <c r="B57" s="241" t="s">
        <v>206</v>
      </c>
      <c r="C57" s="242">
        <v>0.6</v>
      </c>
      <c r="D57" s="242">
        <v>0.7</v>
      </c>
      <c r="E57" s="242">
        <v>0.8</v>
      </c>
      <c r="F57" s="242">
        <v>1</v>
      </c>
      <c r="G57" s="248"/>
      <c r="H57" s="248"/>
      <c r="I57" s="248"/>
      <c r="J57" s="248"/>
      <c r="K57" s="248"/>
    </row>
    <row r="58" spans="1:20" s="179" customFormat="1" ht="12.45" customHeight="1" x14ac:dyDescent="0.55000000000000004">
      <c r="A58" s="178"/>
      <c r="C58" s="452" t="s">
        <v>246</v>
      </c>
      <c r="D58" s="453"/>
      <c r="E58" s="453"/>
      <c r="F58" s="454"/>
      <c r="G58" s="249"/>
      <c r="H58" s="249"/>
      <c r="I58" s="249"/>
      <c r="J58" s="249"/>
      <c r="K58" s="249"/>
    </row>
    <row r="59" spans="1:20" s="117" customFormat="1" ht="12.45" customHeight="1" x14ac:dyDescent="0.35">
      <c r="A59" s="250" t="s">
        <v>147</v>
      </c>
      <c r="B59" s="250" t="s">
        <v>110</v>
      </c>
      <c r="C59" s="244"/>
      <c r="D59" s="244"/>
      <c r="E59" s="244"/>
      <c r="F59" s="244"/>
      <c r="G59" s="218"/>
      <c r="H59" s="218"/>
      <c r="I59" s="218"/>
      <c r="J59" s="218"/>
      <c r="K59" s="218"/>
      <c r="L59" s="101"/>
      <c r="M59" s="101"/>
      <c r="N59" s="105"/>
      <c r="Q59" s="86"/>
      <c r="R59" s="94"/>
      <c r="S59" s="45"/>
      <c r="T59" s="95"/>
    </row>
    <row r="60" spans="1:20" s="117" customFormat="1" ht="12.45" customHeight="1" x14ac:dyDescent="0.35">
      <c r="A60" s="103" t="s">
        <v>111</v>
      </c>
      <c r="B60" s="103" t="s">
        <v>226</v>
      </c>
      <c r="C60" s="244">
        <v>17.100000000000001</v>
      </c>
      <c r="D60" s="244">
        <v>19.899999999999999</v>
      </c>
      <c r="E60" s="244"/>
      <c r="F60" s="244"/>
      <c r="G60" s="218"/>
      <c r="H60" s="218"/>
      <c r="I60" s="218"/>
      <c r="J60" s="218"/>
      <c r="K60" s="218"/>
      <c r="L60" s="101"/>
      <c r="M60" s="101"/>
      <c r="N60" s="105"/>
      <c r="Q60" s="86"/>
      <c r="R60" s="94"/>
      <c r="S60" s="45"/>
      <c r="T60" s="95"/>
    </row>
    <row r="61" spans="1:20" ht="12.45" customHeight="1" x14ac:dyDescent="0.55000000000000004">
      <c r="A61" s="103" t="s">
        <v>227</v>
      </c>
      <c r="B61" s="103" t="s">
        <v>226</v>
      </c>
      <c r="C61" s="244">
        <v>21.4</v>
      </c>
      <c r="D61" s="244">
        <v>24.9</v>
      </c>
      <c r="E61" s="244"/>
      <c r="F61" s="244"/>
      <c r="G61" s="218"/>
      <c r="H61" s="218"/>
      <c r="I61" s="218"/>
      <c r="J61" s="218"/>
      <c r="K61" s="218"/>
    </row>
    <row r="62" spans="1:20" ht="12.45" customHeight="1" x14ac:dyDescent="0.55000000000000004">
      <c r="A62" s="103" t="s">
        <v>229</v>
      </c>
      <c r="B62" s="103" t="s">
        <v>226</v>
      </c>
      <c r="C62" s="244">
        <v>25.6</v>
      </c>
      <c r="D62" s="244"/>
      <c r="E62" s="244"/>
      <c r="F62" s="244"/>
      <c r="G62" s="218"/>
      <c r="H62" s="218"/>
      <c r="I62" s="218"/>
      <c r="J62" s="218"/>
      <c r="K62" s="218"/>
    </row>
    <row r="63" spans="1:20" ht="12.45" customHeight="1" x14ac:dyDescent="0.55000000000000004">
      <c r="A63" s="103" t="s">
        <v>230</v>
      </c>
      <c r="B63" s="103" t="s">
        <v>226</v>
      </c>
      <c r="C63" s="244">
        <v>28.4</v>
      </c>
      <c r="D63" s="244">
        <v>33.1</v>
      </c>
      <c r="E63" s="244"/>
      <c r="F63" s="244"/>
      <c r="G63" s="218"/>
      <c r="H63" s="218"/>
      <c r="I63" s="218"/>
      <c r="J63" s="218"/>
      <c r="K63" s="218"/>
    </row>
    <row r="64" spans="1:20" ht="12.45" customHeight="1" x14ac:dyDescent="0.55000000000000004">
      <c r="A64" s="103" t="s">
        <v>114</v>
      </c>
      <c r="B64" s="103" t="s">
        <v>226</v>
      </c>
      <c r="C64" s="244">
        <v>34.200000000000003</v>
      </c>
      <c r="D64" s="244">
        <v>39.9</v>
      </c>
      <c r="E64" s="244"/>
      <c r="F64" s="244"/>
      <c r="G64" s="218"/>
      <c r="H64" s="218"/>
      <c r="I64" s="218"/>
      <c r="J64" s="218"/>
      <c r="K64" s="218"/>
    </row>
    <row r="65" spans="1:11" ht="12.45" customHeight="1" x14ac:dyDescent="0.55000000000000004">
      <c r="A65" s="103" t="s">
        <v>115</v>
      </c>
      <c r="B65" s="103" t="s">
        <v>226</v>
      </c>
      <c r="C65" s="244">
        <v>42.7</v>
      </c>
      <c r="D65" s="244">
        <v>49.8</v>
      </c>
      <c r="E65" s="244"/>
      <c r="F65" s="244"/>
      <c r="G65" s="218"/>
      <c r="H65" s="218"/>
      <c r="I65" s="218"/>
      <c r="J65" s="218"/>
      <c r="K65" s="218"/>
    </row>
    <row r="66" spans="1:11" ht="12.45" customHeight="1" x14ac:dyDescent="0.55000000000000004">
      <c r="A66" s="103" t="s">
        <v>231</v>
      </c>
      <c r="B66" s="103" t="s">
        <v>226</v>
      </c>
      <c r="C66" s="244"/>
      <c r="D66" s="244">
        <v>55.8</v>
      </c>
      <c r="E66" s="244"/>
      <c r="F66" s="244"/>
      <c r="G66" s="218"/>
      <c r="H66" s="218"/>
      <c r="I66" s="218"/>
      <c r="J66" s="218"/>
      <c r="K66" s="218"/>
    </row>
    <row r="67" spans="1:11" ht="12.45" customHeight="1" x14ac:dyDescent="0.55000000000000004">
      <c r="A67" s="103" t="s">
        <v>232</v>
      </c>
      <c r="B67" s="103" t="s">
        <v>226</v>
      </c>
      <c r="C67" s="244">
        <v>48.7</v>
      </c>
      <c r="D67" s="244"/>
      <c r="E67" s="244"/>
      <c r="F67" s="244"/>
      <c r="G67" s="218"/>
      <c r="H67" s="218"/>
      <c r="I67" s="218"/>
      <c r="J67" s="218"/>
      <c r="K67" s="218"/>
    </row>
    <row r="68" spans="1:11" ht="12.45" customHeight="1" x14ac:dyDescent="0.55000000000000004">
      <c r="A68" s="103" t="s">
        <v>233</v>
      </c>
      <c r="B68" s="103" t="s">
        <v>226</v>
      </c>
      <c r="C68" s="244">
        <v>51.3</v>
      </c>
      <c r="D68" s="244">
        <v>59.8</v>
      </c>
      <c r="E68" s="244"/>
      <c r="F68" s="244"/>
      <c r="G68" s="218"/>
      <c r="H68" s="218"/>
      <c r="I68" s="218"/>
      <c r="J68" s="218"/>
      <c r="K68" s="218"/>
    </row>
    <row r="69" spans="1:11" ht="12.45" customHeight="1" x14ac:dyDescent="0.55000000000000004">
      <c r="A69" s="103" t="s">
        <v>234</v>
      </c>
      <c r="B69" s="103" t="s">
        <v>226</v>
      </c>
      <c r="C69" s="244">
        <v>56.9</v>
      </c>
      <c r="D69" s="244">
        <v>66.400000000000006</v>
      </c>
      <c r="E69" s="244"/>
      <c r="F69" s="244"/>
      <c r="G69" s="218"/>
      <c r="H69" s="218"/>
      <c r="I69" s="218"/>
      <c r="J69" s="218"/>
      <c r="K69" s="218"/>
    </row>
    <row r="70" spans="1:11" ht="12.45" customHeight="1" x14ac:dyDescent="0.55000000000000004">
      <c r="A70" s="103" t="s">
        <v>235</v>
      </c>
      <c r="B70" s="103" t="s">
        <v>226</v>
      </c>
      <c r="C70" s="244">
        <v>59.8</v>
      </c>
      <c r="D70" s="244">
        <v>69.8</v>
      </c>
      <c r="E70" s="244"/>
      <c r="F70" s="244"/>
      <c r="G70" s="218"/>
      <c r="H70" s="218"/>
      <c r="I70" s="218"/>
      <c r="J70" s="218"/>
      <c r="K70" s="218"/>
    </row>
    <row r="71" spans="1:11" ht="12.45" customHeight="1" x14ac:dyDescent="0.55000000000000004">
      <c r="A71" s="103" t="s">
        <v>186</v>
      </c>
      <c r="B71" s="103" t="s">
        <v>226</v>
      </c>
      <c r="C71" s="244">
        <v>68.400000000000006</v>
      </c>
      <c r="D71" s="244">
        <v>79.7</v>
      </c>
      <c r="E71" s="244"/>
      <c r="F71" s="244"/>
      <c r="G71" s="218"/>
      <c r="H71" s="218"/>
      <c r="I71" s="218"/>
      <c r="J71" s="218"/>
      <c r="K71" s="218"/>
    </row>
    <row r="72" spans="1:11" ht="12.45" customHeight="1" x14ac:dyDescent="0.55000000000000004">
      <c r="A72" s="103" t="s">
        <v>236</v>
      </c>
      <c r="B72" s="103" t="s">
        <v>226</v>
      </c>
      <c r="C72" s="244">
        <v>76.900000000000006</v>
      </c>
      <c r="D72" s="244">
        <v>89.7</v>
      </c>
      <c r="E72" s="244"/>
      <c r="F72" s="244"/>
      <c r="G72" s="218"/>
      <c r="H72" s="218"/>
      <c r="I72" s="218"/>
      <c r="J72" s="218"/>
      <c r="K72" s="218"/>
    </row>
    <row r="73" spans="1:11" ht="12.45" customHeight="1" x14ac:dyDescent="0.55000000000000004">
      <c r="A73" s="103" t="s">
        <v>237</v>
      </c>
      <c r="B73" s="103" t="s">
        <v>226</v>
      </c>
      <c r="C73" s="244">
        <v>85.4</v>
      </c>
      <c r="D73" s="244">
        <v>99.7</v>
      </c>
      <c r="E73" s="244"/>
      <c r="F73" s="244"/>
      <c r="G73" s="218"/>
      <c r="H73" s="218"/>
      <c r="I73" s="218"/>
      <c r="J73" s="218"/>
      <c r="K73" s="218"/>
    </row>
    <row r="74" spans="1:11" ht="12.45" customHeight="1" x14ac:dyDescent="0.55000000000000004">
      <c r="A74" s="103" t="s">
        <v>228</v>
      </c>
      <c r="B74" s="103" t="s">
        <v>226</v>
      </c>
      <c r="C74" s="244">
        <v>94</v>
      </c>
      <c r="D74" s="244">
        <v>109.6</v>
      </c>
      <c r="E74" s="244"/>
      <c r="F74" s="244"/>
      <c r="G74" s="218"/>
      <c r="H74" s="218"/>
      <c r="I74" s="218"/>
      <c r="J74" s="218"/>
      <c r="K74" s="218"/>
    </row>
    <row r="75" spans="1:11" ht="12.45" customHeight="1" x14ac:dyDescent="0.55000000000000004">
      <c r="A75" s="103" t="s">
        <v>238</v>
      </c>
      <c r="B75" s="103" t="s">
        <v>226</v>
      </c>
      <c r="C75" s="244">
        <v>102.5</v>
      </c>
      <c r="D75" s="244">
        <v>119.6</v>
      </c>
      <c r="E75" s="244"/>
      <c r="F75" s="244"/>
      <c r="G75" s="218"/>
      <c r="H75" s="218"/>
      <c r="I75" s="218"/>
      <c r="J75" s="218"/>
      <c r="K75" s="218"/>
    </row>
    <row r="76" spans="1:11" ht="12.45" customHeight="1" x14ac:dyDescent="0.55000000000000004">
      <c r="A76" s="103" t="s">
        <v>239</v>
      </c>
      <c r="B76" s="103" t="s">
        <v>226</v>
      </c>
      <c r="C76" s="244">
        <v>114.5</v>
      </c>
      <c r="D76" s="244">
        <v>133.6</v>
      </c>
      <c r="E76" s="244"/>
      <c r="F76" s="244"/>
      <c r="G76" s="218"/>
      <c r="H76" s="218"/>
      <c r="I76" s="218"/>
      <c r="J76" s="218"/>
      <c r="K76" s="218"/>
    </row>
    <row r="77" spans="1:11" ht="12.45" customHeight="1" x14ac:dyDescent="0.55000000000000004">
      <c r="A77" s="103" t="s">
        <v>240</v>
      </c>
      <c r="B77" s="103" t="s">
        <v>226</v>
      </c>
      <c r="C77" s="244">
        <v>119.6</v>
      </c>
      <c r="D77" s="244">
        <v>139.6</v>
      </c>
      <c r="E77" s="244"/>
      <c r="F77" s="244"/>
      <c r="G77" s="218"/>
      <c r="H77" s="218"/>
      <c r="I77" s="218"/>
      <c r="J77" s="218"/>
      <c r="K77" s="218"/>
    </row>
    <row r="78" spans="1:11" ht="12.45" customHeight="1" x14ac:dyDescent="0.55000000000000004">
      <c r="A78" s="103" t="s">
        <v>241</v>
      </c>
      <c r="B78" s="103" t="s">
        <v>226</v>
      </c>
      <c r="C78" s="244">
        <v>128.19999999999999</v>
      </c>
      <c r="D78" s="244">
        <v>149.5</v>
      </c>
      <c r="E78" s="244"/>
      <c r="F78" s="244"/>
      <c r="G78" s="218"/>
      <c r="H78" s="218"/>
      <c r="I78" s="218"/>
      <c r="J78" s="218"/>
      <c r="K78" s="218"/>
    </row>
    <row r="79" spans="1:11" ht="12.45" customHeight="1" x14ac:dyDescent="0.55000000000000004">
      <c r="A79" s="103" t="s">
        <v>148</v>
      </c>
      <c r="B79" s="103" t="s">
        <v>226</v>
      </c>
      <c r="C79" s="244">
        <v>136.69999999999999</v>
      </c>
      <c r="D79" s="244">
        <v>159.5</v>
      </c>
      <c r="E79" s="244"/>
      <c r="F79" s="244"/>
      <c r="G79" s="218"/>
      <c r="H79" s="218"/>
      <c r="I79" s="218"/>
      <c r="J79" s="218"/>
      <c r="K79" s="218"/>
    </row>
    <row r="80" spans="1:11" ht="12.45" customHeight="1" x14ac:dyDescent="0.55000000000000004">
      <c r="A80" s="103" t="s">
        <v>185</v>
      </c>
      <c r="B80" s="103" t="s">
        <v>243</v>
      </c>
      <c r="C80" s="244"/>
      <c r="D80" s="244"/>
      <c r="E80" s="244"/>
      <c r="F80" s="244">
        <v>178</v>
      </c>
      <c r="G80" s="218"/>
      <c r="H80" s="218"/>
      <c r="I80" s="218"/>
      <c r="J80" s="218"/>
      <c r="K80" s="218"/>
    </row>
    <row r="81" spans="1:20" ht="12.45" customHeight="1" x14ac:dyDescent="0.55000000000000004">
      <c r="A81" s="103" t="s">
        <v>185</v>
      </c>
      <c r="B81" s="103" t="s">
        <v>244</v>
      </c>
      <c r="C81" s="244"/>
      <c r="D81" s="244">
        <v>149.5</v>
      </c>
      <c r="E81" s="244">
        <v>170.9</v>
      </c>
      <c r="F81" s="244"/>
      <c r="G81" s="218"/>
      <c r="H81" s="218"/>
      <c r="I81" s="218"/>
      <c r="J81" s="218"/>
      <c r="K81" s="218"/>
    </row>
    <row r="82" spans="1:20" ht="12.45" customHeight="1" x14ac:dyDescent="0.55000000000000004">
      <c r="A82" s="103" t="s">
        <v>185</v>
      </c>
      <c r="B82" s="103" t="s">
        <v>245</v>
      </c>
      <c r="C82" s="244">
        <v>165.5</v>
      </c>
      <c r="D82" s="244"/>
      <c r="E82" s="244"/>
      <c r="F82" s="244"/>
      <c r="G82" s="218"/>
      <c r="H82" s="218"/>
      <c r="I82" s="218"/>
      <c r="J82" s="218"/>
      <c r="K82" s="218"/>
    </row>
    <row r="83" spans="1:20" ht="12.45" customHeight="1" x14ac:dyDescent="0.55000000000000004">
      <c r="A83" s="103" t="s">
        <v>242</v>
      </c>
      <c r="B83" s="103" t="s">
        <v>243</v>
      </c>
      <c r="C83" s="244">
        <v>128.19999999999999</v>
      </c>
      <c r="D83" s="218">
        <v>149.5</v>
      </c>
      <c r="E83" s="218"/>
      <c r="F83" s="218"/>
      <c r="G83" s="218"/>
      <c r="H83" s="218"/>
      <c r="I83" s="218"/>
      <c r="J83" s="218"/>
      <c r="K83" s="218"/>
    </row>
    <row r="84" spans="1:20" ht="7.5" customHeight="1" x14ac:dyDescent="0.55000000000000004">
      <c r="C84" s="218"/>
    </row>
    <row r="85" spans="1:20" ht="7.5" customHeight="1" x14ac:dyDescent="0.55000000000000004"/>
    <row r="86" spans="1:20" s="239" customFormat="1" ht="12.45" customHeight="1" x14ac:dyDescent="0.45">
      <c r="A86" s="178" t="s">
        <v>248</v>
      </c>
      <c r="C86" s="240"/>
      <c r="D86" s="240"/>
      <c r="E86" s="240"/>
      <c r="F86" s="240"/>
      <c r="G86" s="240"/>
      <c r="H86" s="240"/>
      <c r="I86" s="240"/>
      <c r="J86" s="240"/>
      <c r="K86" s="240"/>
    </row>
    <row r="87" spans="1:20" s="241" customFormat="1" ht="12.45" customHeight="1" x14ac:dyDescent="0.35">
      <c r="B87" s="241" t="s">
        <v>206</v>
      </c>
      <c r="C87" s="242">
        <v>0.7</v>
      </c>
      <c r="D87" s="242">
        <v>0.8</v>
      </c>
      <c r="E87" s="242">
        <v>1</v>
      </c>
      <c r="F87" s="251"/>
      <c r="G87" s="248"/>
      <c r="H87" s="248"/>
      <c r="I87" s="248"/>
      <c r="J87" s="248"/>
      <c r="K87" s="248"/>
    </row>
    <row r="88" spans="1:20" s="179" customFormat="1" ht="12.45" customHeight="1" x14ac:dyDescent="0.55000000000000004">
      <c r="A88" s="178"/>
      <c r="C88" s="455" t="s">
        <v>246</v>
      </c>
      <c r="D88" s="456"/>
      <c r="E88" s="456"/>
      <c r="F88" s="249"/>
      <c r="G88" s="249"/>
      <c r="H88" s="249"/>
      <c r="I88" s="249"/>
      <c r="J88" s="249"/>
      <c r="K88" s="249"/>
    </row>
    <row r="89" spans="1:20" s="117" customFormat="1" ht="12.45" customHeight="1" x14ac:dyDescent="0.35">
      <c r="A89" s="250" t="s">
        <v>147</v>
      </c>
      <c r="B89" s="250" t="s">
        <v>110</v>
      </c>
      <c r="C89" s="244"/>
      <c r="D89" s="244"/>
      <c r="E89" s="244"/>
      <c r="F89" s="252"/>
      <c r="G89" s="218"/>
      <c r="H89" s="218"/>
      <c r="I89" s="218"/>
      <c r="J89" s="218"/>
      <c r="K89" s="218"/>
      <c r="L89" s="101"/>
      <c r="M89" s="101"/>
      <c r="N89" s="105"/>
      <c r="Q89" s="86"/>
      <c r="R89" s="94"/>
      <c r="S89" s="45"/>
      <c r="T89" s="95"/>
    </row>
    <row r="90" spans="1:20" s="117" customFormat="1" ht="12.45" customHeight="1" x14ac:dyDescent="0.35">
      <c r="A90" s="103" t="s">
        <v>111</v>
      </c>
      <c r="B90" s="103" t="s">
        <v>226</v>
      </c>
      <c r="C90" s="244">
        <v>16.100000000000001</v>
      </c>
      <c r="D90" s="244"/>
      <c r="E90" s="244"/>
      <c r="F90" s="252"/>
      <c r="G90" s="218"/>
      <c r="H90" s="218"/>
      <c r="I90" s="218"/>
      <c r="J90" s="218"/>
      <c r="K90" s="218"/>
      <c r="L90" s="101"/>
      <c r="M90" s="101"/>
      <c r="N90" s="105"/>
      <c r="Q90" s="86"/>
      <c r="R90" s="94"/>
      <c r="S90" s="45"/>
      <c r="T90" s="95"/>
    </row>
    <row r="91" spans="1:20" ht="12.45" customHeight="1" x14ac:dyDescent="0.55000000000000004">
      <c r="A91" s="103" t="s">
        <v>227</v>
      </c>
      <c r="B91" s="103" t="s">
        <v>226</v>
      </c>
      <c r="C91" s="244">
        <v>20.2</v>
      </c>
      <c r="D91" s="244"/>
      <c r="E91" s="244"/>
      <c r="F91" s="252"/>
      <c r="G91" s="218"/>
      <c r="H91" s="218"/>
      <c r="I91" s="218"/>
      <c r="J91" s="218"/>
      <c r="K91" s="218"/>
    </row>
    <row r="92" spans="1:20" ht="12.45" customHeight="1" x14ac:dyDescent="0.55000000000000004">
      <c r="A92" s="103" t="s">
        <v>229</v>
      </c>
      <c r="B92" s="103" t="s">
        <v>226</v>
      </c>
      <c r="C92" s="244">
        <v>24.2</v>
      </c>
      <c r="D92" s="244"/>
      <c r="E92" s="244"/>
      <c r="F92" s="252"/>
      <c r="G92" s="218"/>
      <c r="H92" s="218"/>
      <c r="I92" s="218"/>
      <c r="J92" s="218"/>
      <c r="K92" s="218"/>
    </row>
    <row r="93" spans="1:20" ht="12.45" customHeight="1" x14ac:dyDescent="0.55000000000000004">
      <c r="A93" s="103" t="s">
        <v>230</v>
      </c>
      <c r="B93" s="103" t="s">
        <v>226</v>
      </c>
      <c r="C93" s="244">
        <v>26.8</v>
      </c>
      <c r="D93" s="244"/>
      <c r="E93" s="244"/>
      <c r="F93" s="252"/>
      <c r="G93" s="218"/>
      <c r="H93" s="218"/>
      <c r="I93" s="218"/>
      <c r="J93" s="218"/>
      <c r="K93" s="218"/>
    </row>
    <row r="94" spans="1:20" ht="12.45" customHeight="1" x14ac:dyDescent="0.55000000000000004">
      <c r="A94" s="103" t="s">
        <v>114</v>
      </c>
      <c r="B94" s="103" t="s">
        <v>226</v>
      </c>
      <c r="C94" s="244">
        <v>32.299999999999997</v>
      </c>
      <c r="D94" s="244"/>
      <c r="E94" s="244"/>
      <c r="F94" s="252"/>
      <c r="G94" s="218"/>
      <c r="H94" s="218"/>
      <c r="I94" s="218"/>
      <c r="J94" s="218"/>
      <c r="K94" s="218"/>
    </row>
    <row r="95" spans="1:20" ht="12.45" customHeight="1" x14ac:dyDescent="0.55000000000000004">
      <c r="A95" s="103" t="s">
        <v>115</v>
      </c>
      <c r="B95" s="103" t="s">
        <v>226</v>
      </c>
      <c r="C95" s="244">
        <v>40.299999999999997</v>
      </c>
      <c r="D95" s="244"/>
      <c r="E95" s="244"/>
      <c r="F95" s="252"/>
      <c r="G95" s="218"/>
      <c r="H95" s="218"/>
      <c r="I95" s="218"/>
      <c r="J95" s="218"/>
      <c r="K95" s="218"/>
    </row>
    <row r="96" spans="1:20" ht="12.45" customHeight="1" x14ac:dyDescent="0.55000000000000004">
      <c r="A96" s="103" t="s">
        <v>232</v>
      </c>
      <c r="B96" s="103" t="s">
        <v>226</v>
      </c>
      <c r="C96" s="244">
        <v>46</v>
      </c>
      <c r="D96" s="244"/>
      <c r="E96" s="244"/>
      <c r="F96" s="252"/>
      <c r="G96" s="218"/>
      <c r="H96" s="218"/>
      <c r="I96" s="218"/>
      <c r="J96" s="218"/>
      <c r="K96" s="218"/>
    </row>
    <row r="97" spans="1:11" ht="12.45" customHeight="1" x14ac:dyDescent="0.55000000000000004">
      <c r="A97" s="103" t="s">
        <v>233</v>
      </c>
      <c r="B97" s="103" t="s">
        <v>226</v>
      </c>
      <c r="C97" s="244">
        <v>48.4</v>
      </c>
      <c r="D97" s="244"/>
      <c r="E97" s="244"/>
      <c r="F97" s="252"/>
      <c r="G97" s="218"/>
      <c r="H97" s="218"/>
      <c r="I97" s="218"/>
      <c r="J97" s="218"/>
      <c r="K97" s="218"/>
    </row>
    <row r="98" spans="1:11" ht="12.45" customHeight="1" x14ac:dyDescent="0.55000000000000004">
      <c r="A98" s="103" t="s">
        <v>234</v>
      </c>
      <c r="B98" s="103" t="s">
        <v>226</v>
      </c>
      <c r="C98" s="244">
        <v>53.7</v>
      </c>
      <c r="D98" s="244"/>
      <c r="E98" s="244"/>
      <c r="F98" s="252"/>
      <c r="G98" s="218"/>
      <c r="H98" s="218"/>
      <c r="I98" s="218"/>
      <c r="J98" s="218"/>
      <c r="K98" s="218"/>
    </row>
    <row r="99" spans="1:11" ht="12.45" customHeight="1" x14ac:dyDescent="0.55000000000000004">
      <c r="A99" s="103" t="s">
        <v>235</v>
      </c>
      <c r="B99" s="103" t="s">
        <v>226</v>
      </c>
      <c r="C99" s="244">
        <v>56.4</v>
      </c>
      <c r="D99" s="244"/>
      <c r="E99" s="244"/>
      <c r="F99" s="252"/>
      <c r="G99" s="218"/>
      <c r="H99" s="218"/>
      <c r="I99" s="218"/>
      <c r="J99" s="218"/>
      <c r="K99" s="218"/>
    </row>
    <row r="100" spans="1:11" ht="12.45" customHeight="1" x14ac:dyDescent="0.55000000000000004">
      <c r="A100" s="103" t="s">
        <v>186</v>
      </c>
      <c r="B100" s="103" t="s">
        <v>226</v>
      </c>
      <c r="C100" s="244">
        <v>64.5</v>
      </c>
      <c r="D100" s="244"/>
      <c r="E100" s="244"/>
      <c r="F100" s="252"/>
      <c r="G100" s="218"/>
      <c r="H100" s="218"/>
      <c r="I100" s="218"/>
      <c r="J100" s="218"/>
      <c r="K100" s="218"/>
    </row>
    <row r="101" spans="1:11" ht="12.45" customHeight="1" x14ac:dyDescent="0.55000000000000004">
      <c r="A101" s="103" t="s">
        <v>236</v>
      </c>
      <c r="B101" s="103" t="s">
        <v>226</v>
      </c>
      <c r="C101" s="244">
        <v>72.599999999999994</v>
      </c>
      <c r="D101" s="244"/>
      <c r="E101" s="244"/>
      <c r="F101" s="252"/>
      <c r="G101" s="218"/>
      <c r="H101" s="218"/>
      <c r="I101" s="218"/>
      <c r="J101" s="218"/>
      <c r="K101" s="218"/>
    </row>
    <row r="102" spans="1:11" ht="12.45" customHeight="1" x14ac:dyDescent="0.55000000000000004">
      <c r="A102" s="103" t="s">
        <v>237</v>
      </c>
      <c r="B102" s="103" t="s">
        <v>226</v>
      </c>
      <c r="C102" s="244">
        <v>80.599999999999994</v>
      </c>
      <c r="D102" s="244">
        <v>92.2</v>
      </c>
      <c r="E102" s="244">
        <v>115.2</v>
      </c>
      <c r="F102" s="252"/>
      <c r="G102" s="218"/>
      <c r="H102" s="218"/>
      <c r="I102" s="218"/>
      <c r="J102" s="218"/>
      <c r="K102" s="218"/>
    </row>
    <row r="103" spans="1:11" ht="12.45" customHeight="1" x14ac:dyDescent="0.55000000000000004">
      <c r="A103" s="103" t="s">
        <v>228</v>
      </c>
      <c r="B103" s="103" t="s">
        <v>226</v>
      </c>
      <c r="C103" s="244">
        <v>88.7</v>
      </c>
      <c r="D103" s="244"/>
      <c r="E103" s="244"/>
      <c r="F103" s="252"/>
      <c r="G103" s="218"/>
      <c r="H103" s="218"/>
      <c r="I103" s="218"/>
      <c r="J103" s="218"/>
      <c r="K103" s="218"/>
    </row>
    <row r="104" spans="1:11" ht="12.45" customHeight="1" x14ac:dyDescent="0.55000000000000004">
      <c r="A104" s="103" t="s">
        <v>238</v>
      </c>
      <c r="B104" s="103" t="s">
        <v>226</v>
      </c>
      <c r="C104" s="244">
        <v>96.8</v>
      </c>
      <c r="D104" s="244">
        <v>110.6</v>
      </c>
      <c r="E104" s="244">
        <v>138.19999999999999</v>
      </c>
      <c r="F104" s="252"/>
      <c r="G104" s="218"/>
      <c r="H104" s="218"/>
      <c r="I104" s="218"/>
      <c r="J104" s="218"/>
      <c r="K104" s="218"/>
    </row>
    <row r="105" spans="1:11" ht="12.45" customHeight="1" x14ac:dyDescent="0.55000000000000004">
      <c r="A105" s="103" t="s">
        <v>239</v>
      </c>
      <c r="B105" s="103" t="s">
        <v>226</v>
      </c>
      <c r="C105" s="244">
        <v>108.1</v>
      </c>
      <c r="D105" s="244">
        <v>123.5</v>
      </c>
      <c r="E105" s="244">
        <v>154.4</v>
      </c>
      <c r="F105" s="252"/>
      <c r="G105" s="218"/>
      <c r="H105" s="218"/>
      <c r="I105" s="218"/>
      <c r="J105" s="218"/>
      <c r="K105" s="218"/>
    </row>
    <row r="106" spans="1:11" ht="12.45" customHeight="1" x14ac:dyDescent="0.55000000000000004">
      <c r="A106" s="103" t="s">
        <v>240</v>
      </c>
      <c r="B106" s="103" t="s">
        <v>226</v>
      </c>
      <c r="C106" s="244">
        <v>112.9</v>
      </c>
      <c r="D106" s="244"/>
      <c r="E106" s="244"/>
      <c r="F106" s="252"/>
      <c r="G106" s="218"/>
      <c r="H106" s="218"/>
      <c r="I106" s="218"/>
      <c r="J106" s="218"/>
      <c r="K106" s="218"/>
    </row>
    <row r="107" spans="1:11" ht="12.45" customHeight="1" x14ac:dyDescent="0.55000000000000004">
      <c r="A107" s="103" t="s">
        <v>241</v>
      </c>
      <c r="B107" s="103" t="s">
        <v>226</v>
      </c>
      <c r="C107" s="244">
        <v>121</v>
      </c>
      <c r="D107" s="244"/>
      <c r="E107" s="244"/>
      <c r="F107" s="252"/>
      <c r="G107" s="218"/>
      <c r="H107" s="218"/>
      <c r="I107" s="218"/>
      <c r="J107" s="218"/>
      <c r="K107" s="218"/>
    </row>
    <row r="108" spans="1:11" ht="12.45" customHeight="1" x14ac:dyDescent="0.55000000000000004">
      <c r="A108" s="103" t="s">
        <v>148</v>
      </c>
      <c r="B108" s="103" t="s">
        <v>226</v>
      </c>
      <c r="C108" s="244">
        <v>129</v>
      </c>
      <c r="D108" s="244"/>
      <c r="E108" s="244"/>
      <c r="F108" s="252"/>
      <c r="G108" s="218"/>
      <c r="H108" s="218"/>
      <c r="I108" s="218"/>
      <c r="J108" s="218"/>
      <c r="K108" s="218"/>
    </row>
    <row r="109" spans="1:11" ht="12.45" customHeight="1" x14ac:dyDescent="0.55000000000000004">
      <c r="A109" s="103" t="s">
        <v>185</v>
      </c>
      <c r="B109" s="103" t="s">
        <v>244</v>
      </c>
      <c r="C109" s="244"/>
      <c r="D109" s="244"/>
      <c r="E109" s="244">
        <v>172.8</v>
      </c>
      <c r="F109" s="252"/>
      <c r="G109" s="218"/>
      <c r="H109" s="218"/>
      <c r="I109" s="218"/>
      <c r="J109" s="218"/>
      <c r="K109" s="218"/>
    </row>
    <row r="110" spans="1:11" ht="12.45" customHeight="1" x14ac:dyDescent="0.55000000000000004">
      <c r="A110" s="103" t="s">
        <v>185</v>
      </c>
      <c r="B110" s="103" t="s">
        <v>245</v>
      </c>
      <c r="C110" s="244">
        <v>156.19999999999999</v>
      </c>
      <c r="D110" s="244">
        <v>178.6</v>
      </c>
      <c r="E110" s="244"/>
      <c r="F110" s="252"/>
      <c r="G110" s="218"/>
      <c r="H110" s="218"/>
      <c r="I110" s="218"/>
      <c r="J110" s="218"/>
      <c r="K110" s="218"/>
    </row>
    <row r="111" spans="1:11" s="239" customFormat="1" ht="15" customHeight="1" x14ac:dyDescent="0.45">
      <c r="A111" s="238" t="s">
        <v>247</v>
      </c>
      <c r="C111" s="240"/>
      <c r="D111" s="240"/>
      <c r="E111" s="240"/>
      <c r="F111" s="240"/>
      <c r="G111" s="240"/>
      <c r="H111" s="240"/>
      <c r="I111" s="240"/>
      <c r="J111" s="240"/>
      <c r="K111" s="240"/>
    </row>
    <row r="112" spans="1:11" s="239" customFormat="1" ht="15" customHeight="1" x14ac:dyDescent="0.45">
      <c r="A112" s="178" t="s">
        <v>124</v>
      </c>
      <c r="C112" s="240"/>
      <c r="D112" s="240"/>
      <c r="E112" s="240"/>
      <c r="F112" s="240"/>
      <c r="G112" s="240"/>
      <c r="H112" s="240"/>
      <c r="I112" s="240"/>
      <c r="J112" s="240"/>
      <c r="K112" s="240"/>
    </row>
    <row r="113" spans="1:20" s="241" customFormat="1" ht="12.45" customHeight="1" x14ac:dyDescent="0.35">
      <c r="B113" s="241" t="s">
        <v>206</v>
      </c>
      <c r="C113" s="242">
        <v>0.6</v>
      </c>
      <c r="D113" s="242">
        <v>0.7</v>
      </c>
      <c r="E113" s="242">
        <v>0.88</v>
      </c>
      <c r="F113" s="242">
        <v>1</v>
      </c>
      <c r="G113" s="248"/>
      <c r="H113" s="248"/>
      <c r="I113" s="248"/>
      <c r="J113" s="248"/>
      <c r="K113" s="248"/>
    </row>
    <row r="114" spans="1:20" s="179" customFormat="1" ht="12.45" customHeight="1" x14ac:dyDescent="0.55000000000000004">
      <c r="C114" s="452" t="s">
        <v>246</v>
      </c>
      <c r="D114" s="453"/>
      <c r="E114" s="453"/>
      <c r="F114" s="454"/>
      <c r="G114" s="249"/>
      <c r="H114" s="249"/>
      <c r="I114" s="249"/>
      <c r="J114" s="249"/>
      <c r="K114" s="249"/>
    </row>
    <row r="115" spans="1:20" s="117" customFormat="1" ht="12.45" customHeight="1" x14ac:dyDescent="0.35">
      <c r="A115" s="250" t="s">
        <v>147</v>
      </c>
      <c r="B115" s="250" t="s">
        <v>110</v>
      </c>
      <c r="C115" s="244"/>
      <c r="D115" s="244"/>
      <c r="E115" s="244"/>
      <c r="F115" s="244"/>
      <c r="G115" s="218"/>
      <c r="H115" s="218"/>
      <c r="I115" s="218"/>
      <c r="J115" s="218"/>
      <c r="K115" s="218"/>
      <c r="L115" s="101"/>
      <c r="M115" s="101"/>
      <c r="N115" s="105"/>
      <c r="Q115" s="86"/>
      <c r="R115" s="94"/>
      <c r="S115" s="45"/>
      <c r="T115" s="95"/>
    </row>
    <row r="116" spans="1:20" s="117" customFormat="1" ht="12.45" customHeight="1" x14ac:dyDescent="0.35">
      <c r="A116" s="103" t="s">
        <v>111</v>
      </c>
      <c r="B116" s="103" t="s">
        <v>226</v>
      </c>
      <c r="C116" s="244">
        <v>15.4</v>
      </c>
      <c r="D116" s="244">
        <v>17.899999999999999</v>
      </c>
      <c r="E116" s="244"/>
      <c r="F116" s="253">
        <v>25.6</v>
      </c>
      <c r="G116" s="218"/>
      <c r="H116" s="218"/>
      <c r="I116" s="218"/>
      <c r="J116" s="218"/>
      <c r="K116" s="218"/>
      <c r="L116" s="101"/>
      <c r="M116" s="101"/>
      <c r="N116" s="105"/>
      <c r="Q116" s="86"/>
      <c r="R116" s="94"/>
      <c r="S116" s="45"/>
      <c r="T116" s="95"/>
    </row>
    <row r="117" spans="1:20" ht="12.45" customHeight="1" x14ac:dyDescent="0.55000000000000004">
      <c r="A117" s="103" t="s">
        <v>227</v>
      </c>
      <c r="B117" s="103" t="s">
        <v>226</v>
      </c>
      <c r="C117" s="244">
        <v>19.2</v>
      </c>
      <c r="D117" s="244">
        <v>22.4</v>
      </c>
      <c r="E117" s="244"/>
      <c r="F117" s="244">
        <v>32</v>
      </c>
      <c r="G117" s="218"/>
      <c r="H117" s="218"/>
      <c r="I117" s="218"/>
      <c r="J117" s="218"/>
      <c r="K117" s="218"/>
    </row>
    <row r="118" spans="1:20" ht="12.45" customHeight="1" x14ac:dyDescent="0.55000000000000004">
      <c r="A118" s="103" t="s">
        <v>229</v>
      </c>
      <c r="B118" s="103" t="s">
        <v>226</v>
      </c>
      <c r="C118" s="244">
        <v>23</v>
      </c>
      <c r="D118" s="244"/>
      <c r="E118" s="244"/>
      <c r="F118" s="244"/>
      <c r="G118" s="218"/>
      <c r="H118" s="218"/>
      <c r="I118" s="218"/>
      <c r="J118" s="218"/>
      <c r="K118" s="218"/>
    </row>
    <row r="119" spans="1:20" ht="12.45" customHeight="1" x14ac:dyDescent="0.55000000000000004">
      <c r="A119" s="103" t="s">
        <v>230</v>
      </c>
      <c r="B119" s="103" t="s">
        <v>226</v>
      </c>
      <c r="C119" s="244">
        <v>25.5</v>
      </c>
      <c r="D119" s="244">
        <v>29.7</v>
      </c>
      <c r="E119" s="244"/>
      <c r="F119" s="244">
        <v>42.5</v>
      </c>
      <c r="G119" s="218"/>
      <c r="H119" s="218"/>
      <c r="I119" s="218"/>
      <c r="J119" s="218"/>
      <c r="K119" s="218"/>
    </row>
    <row r="120" spans="1:20" ht="12.45" customHeight="1" x14ac:dyDescent="0.55000000000000004">
      <c r="A120" s="103" t="s">
        <v>114</v>
      </c>
      <c r="B120" s="103" t="s">
        <v>226</v>
      </c>
      <c r="C120" s="244">
        <v>30.7</v>
      </c>
      <c r="D120" s="244">
        <v>35.799999999999997</v>
      </c>
      <c r="E120" s="244"/>
      <c r="F120" s="244">
        <v>51.2</v>
      </c>
      <c r="G120" s="218"/>
      <c r="H120" s="218"/>
      <c r="I120" s="218"/>
      <c r="J120" s="218"/>
      <c r="K120" s="218"/>
    </row>
    <row r="121" spans="1:20" ht="12.45" customHeight="1" x14ac:dyDescent="0.55000000000000004">
      <c r="A121" s="103" t="s">
        <v>115</v>
      </c>
      <c r="B121" s="103" t="s">
        <v>226</v>
      </c>
      <c r="C121" s="244">
        <v>38.4</v>
      </c>
      <c r="D121" s="244">
        <v>44.8</v>
      </c>
      <c r="E121" s="244"/>
      <c r="F121" s="244">
        <v>64</v>
      </c>
      <c r="G121" s="218"/>
      <c r="H121" s="218"/>
      <c r="I121" s="218"/>
      <c r="J121" s="218"/>
      <c r="K121" s="218"/>
    </row>
    <row r="122" spans="1:20" ht="12.45" customHeight="1" x14ac:dyDescent="0.55000000000000004">
      <c r="A122" s="103" t="s">
        <v>232</v>
      </c>
      <c r="B122" s="103" t="s">
        <v>226</v>
      </c>
      <c r="C122" s="244">
        <v>43.8</v>
      </c>
      <c r="D122" s="244">
        <v>51.1</v>
      </c>
      <c r="E122" s="244"/>
      <c r="F122" s="244"/>
      <c r="G122" s="218"/>
      <c r="H122" s="218"/>
      <c r="I122" s="218"/>
      <c r="J122" s="218"/>
      <c r="K122" s="218"/>
    </row>
    <row r="123" spans="1:20" ht="12.45" customHeight="1" x14ac:dyDescent="0.55000000000000004">
      <c r="A123" s="103" t="s">
        <v>233</v>
      </c>
      <c r="B123" s="103" t="s">
        <v>226</v>
      </c>
      <c r="C123" s="244">
        <v>46.1</v>
      </c>
      <c r="D123" s="244"/>
      <c r="E123" s="244"/>
      <c r="F123" s="244"/>
      <c r="G123" s="218"/>
      <c r="H123" s="218"/>
      <c r="I123" s="218"/>
      <c r="J123" s="218"/>
      <c r="K123" s="218"/>
    </row>
    <row r="124" spans="1:20" ht="12.45" customHeight="1" x14ac:dyDescent="0.55000000000000004">
      <c r="A124" s="103" t="s">
        <v>234</v>
      </c>
      <c r="B124" s="103" t="s">
        <v>226</v>
      </c>
      <c r="C124" s="244">
        <v>51.1</v>
      </c>
      <c r="D124" s="244">
        <v>59.7</v>
      </c>
      <c r="E124" s="244"/>
      <c r="F124" s="244">
        <v>85.2</v>
      </c>
      <c r="G124" s="218"/>
      <c r="H124" s="218"/>
      <c r="I124" s="218"/>
      <c r="J124" s="218"/>
      <c r="K124" s="218"/>
    </row>
    <row r="125" spans="1:20" ht="12.45" customHeight="1" x14ac:dyDescent="0.55000000000000004">
      <c r="A125" s="103" t="s">
        <v>186</v>
      </c>
      <c r="B125" s="103" t="s">
        <v>226</v>
      </c>
      <c r="C125" s="244">
        <v>61.4</v>
      </c>
      <c r="D125" s="244">
        <v>71.7</v>
      </c>
      <c r="E125" s="244"/>
      <c r="F125" s="244">
        <v>102.4</v>
      </c>
      <c r="G125" s="218"/>
      <c r="H125" s="218"/>
      <c r="I125" s="218"/>
      <c r="J125" s="218"/>
      <c r="K125" s="218"/>
    </row>
    <row r="126" spans="1:20" ht="12.45" customHeight="1" x14ac:dyDescent="0.55000000000000004">
      <c r="A126" s="103" t="s">
        <v>236</v>
      </c>
      <c r="B126" s="103" t="s">
        <v>226</v>
      </c>
      <c r="C126" s="244">
        <v>69.099999999999994</v>
      </c>
      <c r="D126" s="244">
        <v>80.599999999999994</v>
      </c>
      <c r="E126" s="244"/>
      <c r="F126" s="244"/>
      <c r="G126" s="218"/>
      <c r="H126" s="218"/>
      <c r="I126" s="218"/>
      <c r="J126" s="218"/>
      <c r="K126" s="218"/>
    </row>
    <row r="127" spans="1:20" ht="12.45" customHeight="1" x14ac:dyDescent="0.55000000000000004">
      <c r="A127" s="103" t="s">
        <v>237</v>
      </c>
      <c r="B127" s="103" t="s">
        <v>226</v>
      </c>
      <c r="C127" s="244">
        <v>76.8</v>
      </c>
      <c r="D127" s="244">
        <v>89.6</v>
      </c>
      <c r="E127" s="244"/>
      <c r="F127" s="244">
        <v>128</v>
      </c>
      <c r="G127" s="218"/>
      <c r="H127" s="218"/>
      <c r="I127" s="218"/>
      <c r="J127" s="218"/>
      <c r="K127" s="218"/>
    </row>
    <row r="128" spans="1:20" ht="12.45" customHeight="1" x14ac:dyDescent="0.55000000000000004">
      <c r="A128" s="103" t="s">
        <v>228</v>
      </c>
      <c r="B128" s="103" t="s">
        <v>226</v>
      </c>
      <c r="C128" s="244">
        <v>84.5</v>
      </c>
      <c r="D128" s="244">
        <v>98.6</v>
      </c>
      <c r="E128" s="244"/>
      <c r="F128" s="244"/>
      <c r="G128" s="218"/>
      <c r="H128" s="218"/>
      <c r="I128" s="218"/>
      <c r="J128" s="218"/>
      <c r="K128" s="218"/>
    </row>
    <row r="129" spans="1:11" ht="12.45" customHeight="1" x14ac:dyDescent="0.55000000000000004">
      <c r="A129" s="103" t="s">
        <v>238</v>
      </c>
      <c r="B129" s="103" t="s">
        <v>226</v>
      </c>
      <c r="C129" s="244">
        <v>92.2</v>
      </c>
      <c r="D129" s="244">
        <v>107.5</v>
      </c>
      <c r="E129" s="244"/>
      <c r="F129" s="244">
        <v>153.6</v>
      </c>
      <c r="G129" s="218"/>
      <c r="H129" s="218"/>
      <c r="I129" s="218"/>
      <c r="J129" s="218"/>
      <c r="K129" s="218"/>
    </row>
    <row r="130" spans="1:11" ht="12.45" customHeight="1" x14ac:dyDescent="0.55000000000000004">
      <c r="A130" s="103" t="s">
        <v>239</v>
      </c>
      <c r="B130" s="103" t="s">
        <v>226</v>
      </c>
      <c r="C130" s="244">
        <v>102.9</v>
      </c>
      <c r="D130" s="244">
        <v>120.1</v>
      </c>
      <c r="E130" s="244"/>
      <c r="F130" s="244">
        <v>171.5</v>
      </c>
      <c r="G130" s="218"/>
      <c r="H130" s="218"/>
      <c r="I130" s="218"/>
      <c r="J130" s="218"/>
      <c r="K130" s="218"/>
    </row>
    <row r="131" spans="1:11" ht="12.45" customHeight="1" x14ac:dyDescent="0.55000000000000004">
      <c r="A131" s="103" t="s">
        <v>240</v>
      </c>
      <c r="B131" s="103" t="s">
        <v>226</v>
      </c>
      <c r="C131" s="244">
        <v>107.5</v>
      </c>
      <c r="D131" s="244"/>
      <c r="E131" s="244"/>
      <c r="F131" s="244"/>
      <c r="G131" s="218"/>
      <c r="H131" s="218"/>
      <c r="I131" s="218"/>
      <c r="J131" s="218"/>
      <c r="K131" s="218"/>
    </row>
    <row r="132" spans="1:11" ht="12.45" customHeight="1" x14ac:dyDescent="0.55000000000000004">
      <c r="A132" s="103" t="s">
        <v>241</v>
      </c>
      <c r="B132" s="103" t="s">
        <v>226</v>
      </c>
      <c r="C132" s="244">
        <v>115.2</v>
      </c>
      <c r="D132" s="244">
        <v>134.4</v>
      </c>
      <c r="E132" s="244"/>
      <c r="F132" s="244">
        <v>192</v>
      </c>
      <c r="G132" s="218"/>
      <c r="H132" s="218"/>
      <c r="I132" s="218"/>
      <c r="J132" s="218"/>
      <c r="K132" s="218"/>
    </row>
    <row r="133" spans="1:11" ht="12.45" customHeight="1" x14ac:dyDescent="0.55000000000000004">
      <c r="A133" s="103" t="s">
        <v>148</v>
      </c>
      <c r="B133" s="103" t="s">
        <v>226</v>
      </c>
      <c r="C133" s="244">
        <v>122.9</v>
      </c>
      <c r="D133" s="244">
        <v>143.4</v>
      </c>
      <c r="E133" s="244"/>
      <c r="F133" s="244">
        <v>204.8</v>
      </c>
      <c r="G133" s="218"/>
      <c r="H133" s="218"/>
      <c r="I133" s="218"/>
      <c r="J133" s="218"/>
      <c r="K133" s="218"/>
    </row>
    <row r="134" spans="1:11" ht="12.45" customHeight="1" x14ac:dyDescent="0.55000000000000004">
      <c r="A134" s="103" t="s">
        <v>185</v>
      </c>
      <c r="B134" s="103" t="s">
        <v>226</v>
      </c>
      <c r="C134" s="244">
        <v>153.6</v>
      </c>
      <c r="D134" s="244">
        <v>179.2</v>
      </c>
      <c r="E134" s="244">
        <v>225.3</v>
      </c>
      <c r="F134" s="244"/>
      <c r="G134" s="218"/>
      <c r="H134" s="218"/>
      <c r="I134" s="218"/>
      <c r="J134" s="218"/>
      <c r="K134" s="218"/>
    </row>
    <row r="135" spans="1:11" ht="12.45" customHeight="1" x14ac:dyDescent="0.55000000000000004">
      <c r="A135" s="103" t="s">
        <v>185</v>
      </c>
      <c r="B135" s="103" t="s">
        <v>243</v>
      </c>
      <c r="C135" s="244"/>
      <c r="D135" s="244"/>
      <c r="E135" s="244"/>
      <c r="F135" s="244">
        <v>160</v>
      </c>
      <c r="G135" s="218"/>
      <c r="H135" s="218"/>
      <c r="I135" s="218"/>
      <c r="J135" s="218"/>
      <c r="K135" s="218"/>
    </row>
    <row r="136" spans="1:11" ht="12.45" customHeight="1" x14ac:dyDescent="0.55000000000000004">
      <c r="A136" s="103" t="s">
        <v>249</v>
      </c>
      <c r="B136" s="103" t="s">
        <v>250</v>
      </c>
      <c r="C136" s="244">
        <v>180</v>
      </c>
      <c r="D136" s="244"/>
      <c r="E136" s="244"/>
      <c r="F136" s="244"/>
      <c r="G136" s="218"/>
      <c r="H136" s="218"/>
      <c r="I136" s="218"/>
      <c r="J136" s="218"/>
      <c r="K136" s="218"/>
    </row>
    <row r="137" spans="1:11" ht="12.45" customHeight="1" x14ac:dyDescent="0.55000000000000004">
      <c r="A137" s="103" t="s">
        <v>249</v>
      </c>
      <c r="B137" s="103" t="s">
        <v>244</v>
      </c>
      <c r="C137" s="244"/>
      <c r="D137" s="244">
        <v>168</v>
      </c>
      <c r="E137" s="244"/>
      <c r="F137" s="244"/>
      <c r="G137" s="218"/>
      <c r="H137" s="218"/>
      <c r="I137" s="218"/>
      <c r="J137" s="218"/>
      <c r="K137" s="218"/>
    </row>
    <row r="138" spans="1:11" ht="12.45" customHeight="1" x14ac:dyDescent="0.55000000000000004">
      <c r="A138" s="103" t="s">
        <v>249</v>
      </c>
      <c r="B138" s="103" t="s">
        <v>243</v>
      </c>
      <c r="C138" s="244"/>
      <c r="D138" s="244"/>
      <c r="E138" s="244"/>
      <c r="F138" s="244">
        <v>200</v>
      </c>
      <c r="G138" s="218"/>
      <c r="H138" s="218"/>
      <c r="I138" s="218"/>
      <c r="J138" s="218"/>
      <c r="K138" s="218"/>
    </row>
    <row r="139" spans="1:11" ht="12.45" customHeight="1" x14ac:dyDescent="0.55000000000000004">
      <c r="A139" s="103" t="s">
        <v>187</v>
      </c>
      <c r="B139" s="103" t="s">
        <v>243</v>
      </c>
      <c r="C139" s="244"/>
      <c r="D139" s="244">
        <v>168</v>
      </c>
      <c r="E139" s="244"/>
      <c r="F139" s="244">
        <v>240</v>
      </c>
      <c r="G139" s="218"/>
      <c r="H139" s="218"/>
      <c r="I139" s="218"/>
      <c r="J139" s="218"/>
      <c r="K139" s="218"/>
    </row>
    <row r="140" spans="1:11" ht="7.5" customHeight="1" x14ac:dyDescent="0.55000000000000004">
      <c r="A140" s="103"/>
      <c r="B140" s="103"/>
      <c r="C140" s="218"/>
      <c r="D140" s="218"/>
      <c r="E140" s="218"/>
      <c r="F140" s="218"/>
      <c r="G140" s="218"/>
      <c r="H140" s="218"/>
      <c r="I140" s="218"/>
      <c r="J140" s="218"/>
      <c r="K140" s="218"/>
    </row>
    <row r="141" spans="1:11" ht="7.5" customHeight="1" x14ac:dyDescent="0.55000000000000004"/>
    <row r="142" spans="1:11" s="239" customFormat="1" ht="12.45" customHeight="1" x14ac:dyDescent="0.45">
      <c r="A142" s="178" t="s">
        <v>251</v>
      </c>
      <c r="C142" s="240"/>
      <c r="D142" s="240"/>
      <c r="E142" s="240"/>
      <c r="F142" s="240"/>
      <c r="G142" s="240"/>
      <c r="H142" s="240"/>
      <c r="I142" s="240"/>
      <c r="J142" s="240"/>
      <c r="K142" s="240"/>
    </row>
    <row r="143" spans="1:11" s="241" customFormat="1" ht="12.45" customHeight="1" x14ac:dyDescent="0.35">
      <c r="B143" s="241" t="s">
        <v>206</v>
      </c>
      <c r="C143" s="242">
        <v>0.63</v>
      </c>
      <c r="D143" s="251">
        <v>0.75</v>
      </c>
      <c r="E143" s="248"/>
      <c r="F143" s="248"/>
      <c r="G143" s="248"/>
      <c r="H143" s="248"/>
      <c r="I143" s="248"/>
      <c r="J143" s="248"/>
      <c r="K143" s="248"/>
    </row>
    <row r="144" spans="1:11" s="179" customFormat="1" ht="12.45" customHeight="1" x14ac:dyDescent="0.55000000000000004">
      <c r="C144" s="457" t="s">
        <v>246</v>
      </c>
      <c r="D144" s="458"/>
      <c r="E144" s="458"/>
      <c r="F144" s="458"/>
      <c r="G144" s="249"/>
      <c r="H144" s="249"/>
      <c r="I144" s="249"/>
      <c r="J144" s="249"/>
      <c r="K144" s="249"/>
    </row>
    <row r="145" spans="1:20" s="117" customFormat="1" ht="12.45" customHeight="1" x14ac:dyDescent="0.35">
      <c r="A145" s="250" t="s">
        <v>147</v>
      </c>
      <c r="B145" s="250" t="s">
        <v>110</v>
      </c>
      <c r="C145" s="244"/>
      <c r="D145" s="252"/>
      <c r="E145" s="218"/>
      <c r="F145" s="218"/>
      <c r="G145" s="218"/>
      <c r="H145" s="218"/>
      <c r="I145" s="218"/>
      <c r="J145" s="218"/>
      <c r="K145" s="218"/>
      <c r="L145" s="101"/>
      <c r="M145" s="101"/>
      <c r="N145" s="105"/>
      <c r="Q145" s="86"/>
      <c r="R145" s="94"/>
      <c r="S145" s="45"/>
      <c r="T145" s="95"/>
    </row>
    <row r="146" spans="1:20" s="117" customFormat="1" ht="12.45" customHeight="1" x14ac:dyDescent="0.35">
      <c r="A146" s="103" t="s">
        <v>249</v>
      </c>
      <c r="B146" s="103" t="s">
        <v>243</v>
      </c>
      <c r="C146" s="244">
        <v>125</v>
      </c>
      <c r="D146" s="252">
        <v>150</v>
      </c>
      <c r="E146" s="218"/>
      <c r="F146" s="218"/>
      <c r="G146" s="218"/>
      <c r="H146" s="218"/>
      <c r="I146" s="218"/>
      <c r="J146" s="218"/>
      <c r="K146" s="218"/>
      <c r="L146" s="101"/>
      <c r="M146" s="101"/>
      <c r="N146" s="105"/>
      <c r="Q146" s="86"/>
      <c r="R146" s="94"/>
      <c r="S146" s="45"/>
      <c r="T146" s="95"/>
    </row>
    <row r="148" spans="1:20" s="239" customFormat="1" ht="12.45" customHeight="1" x14ac:dyDescent="0.45">
      <c r="A148" s="178" t="s">
        <v>289</v>
      </c>
      <c r="C148" s="240"/>
      <c r="D148" s="240"/>
      <c r="E148" s="240"/>
      <c r="F148" s="240"/>
      <c r="G148" s="240"/>
      <c r="H148" s="240"/>
      <c r="I148" s="240"/>
      <c r="J148" s="240"/>
      <c r="K148" s="240"/>
    </row>
    <row r="149" spans="1:20" s="241" customFormat="1" ht="12.45" customHeight="1" x14ac:dyDescent="0.35">
      <c r="B149" s="241" t="s">
        <v>206</v>
      </c>
      <c r="C149" s="242">
        <v>0.5</v>
      </c>
      <c r="D149" s="242">
        <v>0.6</v>
      </c>
      <c r="E149" s="242">
        <v>0.7</v>
      </c>
      <c r="F149" s="242">
        <v>0.8</v>
      </c>
      <c r="G149" s="254">
        <v>1</v>
      </c>
      <c r="H149" s="248"/>
      <c r="I149" s="248"/>
      <c r="J149" s="248"/>
      <c r="K149" s="248"/>
    </row>
    <row r="150" spans="1:20" s="179" customFormat="1" ht="12.45" customHeight="1" x14ac:dyDescent="0.55000000000000004">
      <c r="C150" s="452" t="s">
        <v>246</v>
      </c>
      <c r="D150" s="453"/>
      <c r="E150" s="453"/>
      <c r="F150" s="453"/>
      <c r="G150" s="454"/>
      <c r="H150" s="249"/>
      <c r="I150" s="249"/>
      <c r="J150" s="249"/>
      <c r="K150" s="249"/>
    </row>
    <row r="151" spans="1:20" s="117" customFormat="1" ht="12.45" customHeight="1" x14ac:dyDescent="0.35">
      <c r="A151" s="250" t="s">
        <v>147</v>
      </c>
      <c r="B151" s="250" t="s">
        <v>110</v>
      </c>
      <c r="C151" s="244"/>
      <c r="D151" s="244"/>
      <c r="E151" s="244"/>
      <c r="F151" s="244"/>
      <c r="G151" s="253"/>
      <c r="H151" s="218"/>
      <c r="I151" s="218"/>
      <c r="J151" s="218"/>
      <c r="K151" s="218"/>
      <c r="L151" s="101"/>
      <c r="M151" s="101"/>
      <c r="N151" s="105"/>
      <c r="Q151" s="86"/>
      <c r="R151" s="94"/>
      <c r="S151" s="45"/>
      <c r="T151" s="95"/>
    </row>
    <row r="152" spans="1:20" s="117" customFormat="1" ht="12.45" customHeight="1" x14ac:dyDescent="0.35">
      <c r="A152" s="103" t="s">
        <v>111</v>
      </c>
      <c r="B152" s="103" t="s">
        <v>226</v>
      </c>
      <c r="C152" s="244"/>
      <c r="D152" s="244">
        <v>15.4</v>
      </c>
      <c r="E152" s="244"/>
      <c r="F152" s="253"/>
      <c r="G152" s="253"/>
      <c r="H152" s="218"/>
      <c r="I152" s="218"/>
      <c r="J152" s="218"/>
      <c r="K152" s="218"/>
      <c r="L152" s="101"/>
      <c r="M152" s="101"/>
      <c r="N152" s="105"/>
      <c r="Q152" s="86"/>
      <c r="R152" s="94"/>
      <c r="S152" s="45"/>
      <c r="T152" s="95"/>
    </row>
    <row r="153" spans="1:20" ht="12.45" customHeight="1" x14ac:dyDescent="0.55000000000000004">
      <c r="A153" s="103" t="s">
        <v>227</v>
      </c>
      <c r="B153" s="103" t="s">
        <v>226</v>
      </c>
      <c r="C153" s="244"/>
      <c r="D153" s="244">
        <v>19.2</v>
      </c>
      <c r="E153" s="244"/>
      <c r="F153" s="244"/>
      <c r="G153" s="253"/>
      <c r="H153" s="218"/>
      <c r="I153" s="218"/>
      <c r="J153" s="218"/>
      <c r="K153" s="218"/>
    </row>
    <row r="154" spans="1:20" ht="12.45" customHeight="1" x14ac:dyDescent="0.55000000000000004">
      <c r="A154" s="103" t="s">
        <v>230</v>
      </c>
      <c r="B154" s="103" t="s">
        <v>226</v>
      </c>
      <c r="C154" s="244"/>
      <c r="D154" s="244">
        <v>25.5</v>
      </c>
      <c r="E154" s="244"/>
      <c r="F154" s="244"/>
      <c r="G154" s="253"/>
      <c r="H154" s="218"/>
      <c r="I154" s="218"/>
      <c r="J154" s="218"/>
      <c r="K154" s="218"/>
    </row>
    <row r="155" spans="1:20" ht="12.45" customHeight="1" x14ac:dyDescent="0.55000000000000004">
      <c r="A155" s="103" t="s">
        <v>114</v>
      </c>
      <c r="B155" s="103" t="s">
        <v>226</v>
      </c>
      <c r="C155" s="244"/>
      <c r="D155" s="244">
        <v>30.7</v>
      </c>
      <c r="E155" s="244"/>
      <c r="F155" s="244"/>
      <c r="G155" s="253"/>
      <c r="H155" s="218"/>
      <c r="I155" s="218"/>
      <c r="J155" s="218"/>
      <c r="K155" s="218"/>
    </row>
    <row r="156" spans="1:20" ht="12.45" customHeight="1" x14ac:dyDescent="0.55000000000000004">
      <c r="A156" s="103" t="s">
        <v>115</v>
      </c>
      <c r="B156" s="103" t="s">
        <v>226</v>
      </c>
      <c r="C156" s="244"/>
      <c r="D156" s="244">
        <v>38.4</v>
      </c>
      <c r="E156" s="244"/>
      <c r="F156" s="244"/>
      <c r="G156" s="253"/>
      <c r="H156" s="218"/>
      <c r="I156" s="218"/>
      <c r="J156" s="218"/>
      <c r="K156" s="218"/>
    </row>
    <row r="157" spans="1:20" ht="12.45" customHeight="1" x14ac:dyDescent="0.55000000000000004">
      <c r="A157" s="103" t="s">
        <v>234</v>
      </c>
      <c r="B157" s="103" t="s">
        <v>226</v>
      </c>
      <c r="C157" s="244"/>
      <c r="D157" s="244">
        <v>51.1</v>
      </c>
      <c r="E157" s="244"/>
      <c r="F157" s="244"/>
      <c r="G157" s="253"/>
      <c r="H157" s="218"/>
      <c r="I157" s="218"/>
      <c r="J157" s="218"/>
      <c r="K157" s="218"/>
    </row>
    <row r="158" spans="1:20" ht="12.45" customHeight="1" x14ac:dyDescent="0.55000000000000004">
      <c r="A158" s="103" t="s">
        <v>186</v>
      </c>
      <c r="B158" s="103" t="s">
        <v>226</v>
      </c>
      <c r="C158" s="244"/>
      <c r="D158" s="244">
        <v>61.4</v>
      </c>
      <c r="E158" s="244"/>
      <c r="F158" s="244"/>
      <c r="G158" s="253"/>
      <c r="H158" s="218"/>
      <c r="I158" s="218"/>
      <c r="J158" s="218"/>
      <c r="K158" s="218"/>
    </row>
    <row r="159" spans="1:20" ht="12.45" customHeight="1" x14ac:dyDescent="0.55000000000000004">
      <c r="A159" s="103" t="s">
        <v>237</v>
      </c>
      <c r="B159" s="103" t="s">
        <v>226</v>
      </c>
      <c r="C159" s="244"/>
      <c r="D159" s="244">
        <v>76.8</v>
      </c>
      <c r="E159" s="244"/>
      <c r="F159" s="244"/>
      <c r="G159" s="253"/>
      <c r="H159" s="218"/>
      <c r="I159" s="218"/>
      <c r="J159" s="218"/>
      <c r="K159" s="218"/>
    </row>
    <row r="160" spans="1:20" ht="12.45" customHeight="1" x14ac:dyDescent="0.55000000000000004">
      <c r="A160" s="103" t="s">
        <v>238</v>
      </c>
      <c r="B160" s="103" t="s">
        <v>226</v>
      </c>
      <c r="C160" s="244"/>
      <c r="D160" s="244">
        <v>92.2</v>
      </c>
      <c r="E160" s="244"/>
      <c r="F160" s="244"/>
      <c r="G160" s="253"/>
      <c r="H160" s="218"/>
      <c r="I160" s="218"/>
      <c r="J160" s="218"/>
      <c r="K160" s="218"/>
    </row>
    <row r="161" spans="1:20" ht="12.45" customHeight="1" x14ac:dyDescent="0.55000000000000004">
      <c r="A161" s="103" t="s">
        <v>239</v>
      </c>
      <c r="B161" s="103" t="s">
        <v>226</v>
      </c>
      <c r="C161" s="244"/>
      <c r="D161" s="244">
        <v>102.9</v>
      </c>
      <c r="E161" s="244"/>
      <c r="F161" s="244"/>
      <c r="G161" s="253"/>
      <c r="H161" s="218"/>
      <c r="I161" s="218"/>
      <c r="J161" s="218"/>
      <c r="K161" s="218"/>
    </row>
    <row r="162" spans="1:20" ht="12.45" customHeight="1" x14ac:dyDescent="0.55000000000000004">
      <c r="A162" s="103" t="s">
        <v>241</v>
      </c>
      <c r="B162" s="103" t="s">
        <v>226</v>
      </c>
      <c r="C162" s="244"/>
      <c r="D162" s="244">
        <v>115.2</v>
      </c>
      <c r="E162" s="244"/>
      <c r="F162" s="244"/>
      <c r="G162" s="253"/>
      <c r="H162" s="218"/>
      <c r="I162" s="218"/>
      <c r="J162" s="218"/>
      <c r="K162" s="218"/>
    </row>
    <row r="163" spans="1:20" ht="12.45" customHeight="1" x14ac:dyDescent="0.55000000000000004">
      <c r="A163" s="103" t="s">
        <v>148</v>
      </c>
      <c r="B163" s="103" t="s">
        <v>226</v>
      </c>
      <c r="C163" s="244"/>
      <c r="D163" s="244">
        <v>122.9</v>
      </c>
      <c r="E163" s="244"/>
      <c r="F163" s="244"/>
      <c r="G163" s="253"/>
      <c r="H163" s="218"/>
      <c r="I163" s="218"/>
      <c r="J163" s="218"/>
      <c r="K163" s="218"/>
    </row>
    <row r="164" spans="1:20" ht="12.45" customHeight="1" x14ac:dyDescent="0.55000000000000004">
      <c r="A164" s="103" t="s">
        <v>185</v>
      </c>
      <c r="B164" s="103" t="s">
        <v>226</v>
      </c>
      <c r="C164" s="244">
        <v>128</v>
      </c>
      <c r="D164" s="244">
        <v>153.6</v>
      </c>
      <c r="E164" s="244">
        <v>179.2</v>
      </c>
      <c r="F164" s="244"/>
      <c r="G164" s="253"/>
      <c r="H164" s="218"/>
      <c r="I164" s="218"/>
      <c r="J164" s="218"/>
      <c r="K164" s="218"/>
    </row>
    <row r="165" spans="1:20" ht="12.45" customHeight="1" x14ac:dyDescent="0.55000000000000004">
      <c r="A165" s="103" t="s">
        <v>185</v>
      </c>
      <c r="B165" s="103" t="s">
        <v>244</v>
      </c>
      <c r="C165" s="244"/>
      <c r="D165" s="244"/>
      <c r="E165" s="244"/>
      <c r="F165" s="244">
        <v>153.6</v>
      </c>
      <c r="G165" s="253">
        <v>162</v>
      </c>
      <c r="H165" s="218"/>
      <c r="I165" s="218"/>
      <c r="J165" s="218"/>
      <c r="K165" s="218"/>
    </row>
    <row r="166" spans="1:20" ht="12.45" customHeight="1" x14ac:dyDescent="0.55000000000000004">
      <c r="A166" s="103" t="s">
        <v>249</v>
      </c>
      <c r="B166" s="103" t="s">
        <v>244</v>
      </c>
      <c r="C166" s="244"/>
      <c r="D166" s="244">
        <v>144</v>
      </c>
      <c r="E166" s="244"/>
      <c r="F166" s="244"/>
      <c r="G166" s="253"/>
      <c r="H166" s="218"/>
      <c r="I166" s="218"/>
      <c r="J166" s="218"/>
      <c r="K166" s="218"/>
    </row>
    <row r="167" spans="1:20" s="239" customFormat="1" ht="12.45" customHeight="1" x14ac:dyDescent="0.45">
      <c r="A167" s="238" t="s">
        <v>247</v>
      </c>
      <c r="C167" s="240"/>
      <c r="D167" s="240"/>
      <c r="E167" s="240"/>
      <c r="F167" s="240"/>
      <c r="G167" s="240"/>
      <c r="H167" s="240"/>
      <c r="I167" s="240"/>
      <c r="J167" s="240"/>
      <c r="K167" s="240"/>
    </row>
    <row r="168" spans="1:20" s="239" customFormat="1" ht="12.45" customHeight="1" x14ac:dyDescent="0.45">
      <c r="A168" s="178" t="s">
        <v>252</v>
      </c>
      <c r="C168" s="240"/>
      <c r="D168" s="240"/>
      <c r="E168" s="240"/>
      <c r="F168" s="240"/>
      <c r="G168" s="240"/>
      <c r="H168" s="240"/>
      <c r="I168" s="240"/>
      <c r="J168" s="240"/>
      <c r="K168" s="240"/>
    </row>
    <row r="169" spans="1:20" s="241" customFormat="1" ht="12.45" customHeight="1" x14ac:dyDescent="0.35">
      <c r="B169" s="241" t="s">
        <v>206</v>
      </c>
      <c r="C169" s="242">
        <v>0.5</v>
      </c>
      <c r="D169" s="248"/>
      <c r="E169" s="248"/>
      <c r="F169" s="248"/>
      <c r="G169" s="248"/>
      <c r="H169" s="248"/>
      <c r="I169" s="248"/>
      <c r="J169" s="248"/>
      <c r="K169" s="248"/>
    </row>
    <row r="170" spans="1:20" s="179" customFormat="1" ht="12.45" customHeight="1" x14ac:dyDescent="0.55000000000000004">
      <c r="C170" s="457" t="s">
        <v>246</v>
      </c>
      <c r="D170" s="458"/>
      <c r="E170" s="458"/>
      <c r="F170" s="458"/>
      <c r="G170" s="458"/>
      <c r="H170" s="249"/>
      <c r="I170" s="249"/>
      <c r="J170" s="249"/>
      <c r="K170" s="249"/>
    </row>
    <row r="171" spans="1:20" s="117" customFormat="1" ht="12.45" customHeight="1" x14ac:dyDescent="0.35">
      <c r="A171" s="250" t="s">
        <v>147</v>
      </c>
      <c r="B171" s="250" t="s">
        <v>110</v>
      </c>
      <c r="C171" s="244"/>
      <c r="D171" s="252"/>
      <c r="E171" s="218"/>
      <c r="F171" s="218"/>
      <c r="G171" s="218"/>
      <c r="H171" s="218"/>
      <c r="I171" s="218"/>
      <c r="J171" s="218"/>
      <c r="K171" s="218"/>
      <c r="L171" s="101"/>
      <c r="M171" s="101"/>
      <c r="N171" s="105"/>
      <c r="Q171" s="86"/>
      <c r="R171" s="94"/>
      <c r="S171" s="45"/>
      <c r="T171" s="95"/>
    </row>
    <row r="172" spans="1:20" ht="12.45" customHeight="1" x14ac:dyDescent="0.55000000000000004">
      <c r="A172" s="103" t="s">
        <v>114</v>
      </c>
      <c r="B172" s="103" t="s">
        <v>255</v>
      </c>
      <c r="C172" s="244">
        <v>28.4</v>
      </c>
      <c r="D172" s="252"/>
      <c r="E172" s="218"/>
      <c r="F172" s="218"/>
      <c r="G172" s="218"/>
      <c r="H172" s="218"/>
      <c r="I172" s="218"/>
      <c r="J172" s="218"/>
      <c r="K172" s="218"/>
    </row>
    <row r="173" spans="1:20" ht="12.45" customHeight="1" x14ac:dyDescent="0.55000000000000004">
      <c r="A173" s="103" t="s">
        <v>115</v>
      </c>
      <c r="B173" s="103" t="s">
        <v>255</v>
      </c>
      <c r="C173" s="244">
        <v>35.6</v>
      </c>
      <c r="D173" s="252"/>
      <c r="E173" s="218"/>
      <c r="F173" s="218"/>
      <c r="G173" s="218"/>
      <c r="H173" s="218"/>
      <c r="I173" s="218"/>
      <c r="J173" s="218"/>
      <c r="K173" s="218"/>
    </row>
    <row r="174" spans="1:20" ht="12.45" customHeight="1" x14ac:dyDescent="0.55000000000000004">
      <c r="A174" s="103" t="s">
        <v>231</v>
      </c>
      <c r="B174" s="103" t="s">
        <v>255</v>
      </c>
      <c r="C174" s="244">
        <v>39.799999999999997</v>
      </c>
      <c r="D174" s="252"/>
      <c r="E174" s="218"/>
      <c r="F174" s="218"/>
      <c r="G174" s="218"/>
      <c r="H174" s="218"/>
      <c r="I174" s="218"/>
      <c r="J174" s="218"/>
      <c r="K174" s="218"/>
    </row>
    <row r="175" spans="1:20" ht="12.45" customHeight="1" x14ac:dyDescent="0.55000000000000004">
      <c r="A175" s="103" t="s">
        <v>234</v>
      </c>
      <c r="B175" s="103" t="s">
        <v>255</v>
      </c>
      <c r="C175" s="244">
        <v>47.4</v>
      </c>
      <c r="D175" s="252"/>
      <c r="E175" s="218"/>
      <c r="F175" s="218"/>
      <c r="G175" s="218"/>
      <c r="H175" s="218"/>
      <c r="I175" s="218"/>
      <c r="J175" s="218"/>
      <c r="K175" s="218"/>
    </row>
    <row r="176" spans="1:20" ht="12.45" customHeight="1" x14ac:dyDescent="0.55000000000000004">
      <c r="A176" s="103" t="s">
        <v>186</v>
      </c>
      <c r="B176" s="103" t="s">
        <v>255</v>
      </c>
      <c r="C176" s="244">
        <v>56.9</v>
      </c>
      <c r="D176" s="252"/>
      <c r="E176" s="218"/>
      <c r="F176" s="218"/>
      <c r="G176" s="218"/>
      <c r="H176" s="218"/>
      <c r="I176" s="218"/>
      <c r="J176" s="218"/>
      <c r="K176" s="218"/>
    </row>
    <row r="177" spans="1:20" ht="12.45" customHeight="1" x14ac:dyDescent="0.55000000000000004">
      <c r="A177" s="103" t="s">
        <v>237</v>
      </c>
      <c r="B177" s="103" t="s">
        <v>255</v>
      </c>
      <c r="C177" s="244">
        <v>71.099999999999994</v>
      </c>
      <c r="D177" s="252"/>
      <c r="E177" s="218"/>
      <c r="F177" s="218"/>
      <c r="G177" s="218"/>
      <c r="H177" s="218"/>
      <c r="I177" s="218"/>
      <c r="J177" s="218"/>
      <c r="K177" s="218"/>
    </row>
    <row r="178" spans="1:20" ht="12.45" customHeight="1" x14ac:dyDescent="0.55000000000000004">
      <c r="A178" s="103" t="s">
        <v>253</v>
      </c>
      <c r="B178" s="103" t="s">
        <v>255</v>
      </c>
      <c r="C178" s="244">
        <v>82.5</v>
      </c>
      <c r="D178" s="252"/>
      <c r="E178" s="218"/>
      <c r="F178" s="218"/>
      <c r="G178" s="218"/>
      <c r="H178" s="218"/>
      <c r="I178" s="218"/>
      <c r="J178" s="218"/>
      <c r="K178" s="218"/>
    </row>
    <row r="179" spans="1:20" ht="12.45" customHeight="1" x14ac:dyDescent="0.55000000000000004">
      <c r="A179" s="103" t="s">
        <v>239</v>
      </c>
      <c r="B179" s="103" t="s">
        <v>255</v>
      </c>
      <c r="C179" s="244">
        <v>95.3</v>
      </c>
      <c r="D179" s="252"/>
      <c r="E179" s="218"/>
      <c r="F179" s="218"/>
      <c r="G179" s="218"/>
      <c r="H179" s="218"/>
      <c r="I179" s="218"/>
      <c r="J179" s="218"/>
      <c r="K179" s="218"/>
    </row>
    <row r="180" spans="1:20" ht="12.45" customHeight="1" x14ac:dyDescent="0.55000000000000004">
      <c r="A180" s="103" t="s">
        <v>148</v>
      </c>
      <c r="B180" s="103" t="s">
        <v>255</v>
      </c>
      <c r="C180" s="244">
        <v>113.8</v>
      </c>
      <c r="D180" s="252"/>
      <c r="E180" s="218"/>
      <c r="F180" s="218"/>
      <c r="G180" s="218"/>
      <c r="H180" s="218"/>
      <c r="I180" s="218"/>
      <c r="J180" s="218"/>
      <c r="K180" s="218"/>
    </row>
    <row r="181" spans="1:20" ht="12.45" customHeight="1" x14ac:dyDescent="0.55000000000000004">
      <c r="A181" s="103" t="s">
        <v>185</v>
      </c>
      <c r="B181" s="103" t="s">
        <v>255</v>
      </c>
      <c r="C181" s="244">
        <v>142.19999999999999</v>
      </c>
      <c r="D181" s="252"/>
      <c r="E181" s="218"/>
      <c r="F181" s="218"/>
      <c r="G181" s="218"/>
      <c r="H181" s="218"/>
      <c r="I181" s="218"/>
      <c r="J181" s="218"/>
      <c r="K181" s="218"/>
    </row>
    <row r="182" spans="1:20" ht="12.45" customHeight="1" x14ac:dyDescent="0.55000000000000004">
      <c r="A182" s="103" t="s">
        <v>254</v>
      </c>
      <c r="B182" s="103" t="s">
        <v>255</v>
      </c>
      <c r="C182" s="244">
        <v>165</v>
      </c>
      <c r="D182" s="252"/>
      <c r="E182" s="218"/>
      <c r="F182" s="218"/>
      <c r="G182" s="218"/>
      <c r="H182" s="218"/>
      <c r="I182" s="218"/>
      <c r="J182" s="218"/>
      <c r="K182" s="218"/>
    </row>
    <row r="183" spans="1:20" ht="12.45" customHeight="1" x14ac:dyDescent="0.55000000000000004">
      <c r="A183" s="103"/>
      <c r="B183" s="103"/>
      <c r="C183" s="218"/>
      <c r="D183" s="218"/>
      <c r="E183" s="218"/>
      <c r="F183" s="218"/>
      <c r="G183" s="218"/>
      <c r="H183" s="218"/>
      <c r="I183" s="218"/>
      <c r="J183" s="218"/>
      <c r="K183" s="218"/>
    </row>
    <row r="184" spans="1:20" s="239" customFormat="1" ht="12.45" customHeight="1" x14ac:dyDescent="0.45">
      <c r="A184" s="178" t="s">
        <v>256</v>
      </c>
      <c r="C184" s="240"/>
      <c r="D184" s="240"/>
      <c r="E184" s="240"/>
      <c r="F184" s="240"/>
      <c r="G184" s="240"/>
      <c r="H184" s="240"/>
      <c r="I184" s="240"/>
      <c r="J184" s="240"/>
      <c r="K184" s="240"/>
    </row>
    <row r="185" spans="1:20" s="241" customFormat="1" ht="12.45" customHeight="1" x14ac:dyDescent="0.35">
      <c r="B185" s="241" t="s">
        <v>206</v>
      </c>
      <c r="C185" s="242">
        <v>0.5</v>
      </c>
      <c r="D185" s="248"/>
      <c r="E185" s="248"/>
      <c r="F185" s="248"/>
      <c r="G185" s="248"/>
      <c r="H185" s="248"/>
      <c r="I185" s="248"/>
      <c r="J185" s="248"/>
      <c r="K185" s="248"/>
    </row>
    <row r="186" spans="1:20" s="179" customFormat="1" ht="12.45" customHeight="1" x14ac:dyDescent="0.55000000000000004">
      <c r="C186" s="457" t="s">
        <v>246</v>
      </c>
      <c r="D186" s="458"/>
      <c r="E186" s="458"/>
      <c r="F186" s="458"/>
      <c r="G186" s="458"/>
      <c r="H186" s="249"/>
      <c r="I186" s="249"/>
      <c r="J186" s="249"/>
      <c r="K186" s="249"/>
    </row>
    <row r="187" spans="1:20" s="117" customFormat="1" ht="12.45" customHeight="1" x14ac:dyDescent="0.35">
      <c r="A187" s="250" t="s">
        <v>147</v>
      </c>
      <c r="B187" s="250" t="s">
        <v>110</v>
      </c>
      <c r="C187" s="244"/>
      <c r="D187" s="252"/>
      <c r="E187" s="218"/>
      <c r="F187" s="218"/>
      <c r="G187" s="218"/>
      <c r="H187" s="218"/>
      <c r="I187" s="218"/>
      <c r="J187" s="218"/>
      <c r="K187" s="218"/>
      <c r="L187" s="101"/>
      <c r="M187" s="101"/>
      <c r="N187" s="105"/>
      <c r="Q187" s="86"/>
      <c r="R187" s="94"/>
      <c r="S187" s="45"/>
      <c r="T187" s="95"/>
    </row>
    <row r="188" spans="1:20" ht="12.45" customHeight="1" x14ac:dyDescent="0.55000000000000004">
      <c r="A188" s="103" t="s">
        <v>239</v>
      </c>
      <c r="B188" s="103" t="s">
        <v>226</v>
      </c>
      <c r="C188" s="244">
        <v>87.9</v>
      </c>
      <c r="D188" s="252"/>
      <c r="E188" s="218"/>
      <c r="F188" s="218"/>
      <c r="G188" s="218"/>
      <c r="H188" s="218"/>
      <c r="I188" s="218"/>
      <c r="J188" s="218"/>
      <c r="K188" s="218"/>
    </row>
    <row r="189" spans="1:20" ht="12.45" customHeight="1" x14ac:dyDescent="0.55000000000000004">
      <c r="A189" s="103" t="s">
        <v>148</v>
      </c>
      <c r="B189" s="103" t="s">
        <v>226</v>
      </c>
      <c r="C189" s="244">
        <v>105</v>
      </c>
      <c r="D189" s="252"/>
      <c r="E189" s="218"/>
      <c r="F189" s="218"/>
      <c r="G189" s="218"/>
      <c r="H189" s="218"/>
      <c r="I189" s="218"/>
      <c r="J189" s="218"/>
      <c r="K189" s="218"/>
    </row>
    <row r="190" spans="1:20" ht="12.45" customHeight="1" x14ac:dyDescent="0.55000000000000004">
      <c r="A190" s="103" t="s">
        <v>185</v>
      </c>
      <c r="B190" s="103" t="s">
        <v>226</v>
      </c>
      <c r="C190" s="244">
        <v>131.19999999999999</v>
      </c>
      <c r="D190" s="252"/>
      <c r="E190" s="218"/>
      <c r="F190" s="218"/>
      <c r="G190" s="218"/>
      <c r="H190" s="218"/>
      <c r="I190" s="218"/>
      <c r="J190" s="218"/>
      <c r="K190" s="218"/>
    </row>
    <row r="192" spans="1:20" s="239" customFormat="1" ht="12.45" customHeight="1" x14ac:dyDescent="0.45">
      <c r="A192" s="178" t="s">
        <v>257</v>
      </c>
      <c r="C192" s="240"/>
      <c r="D192" s="240"/>
      <c r="E192" s="240"/>
      <c r="F192" s="240"/>
      <c r="G192" s="240"/>
      <c r="H192" s="240"/>
      <c r="I192" s="240"/>
      <c r="J192" s="240"/>
      <c r="K192" s="240"/>
    </row>
    <row r="193" spans="1:20" s="241" customFormat="1" ht="12.45" customHeight="1" x14ac:dyDescent="0.35">
      <c r="B193" s="241" t="s">
        <v>206</v>
      </c>
      <c r="C193" s="242">
        <v>0.7</v>
      </c>
      <c r="D193" s="242">
        <v>0.8</v>
      </c>
      <c r="E193" s="242">
        <v>1</v>
      </c>
      <c r="F193" s="242">
        <v>1.2</v>
      </c>
      <c r="G193" s="254">
        <v>1.5</v>
      </c>
      <c r="H193" s="248"/>
      <c r="I193" s="248"/>
      <c r="J193" s="248"/>
      <c r="K193" s="248"/>
    </row>
    <row r="194" spans="1:20" s="179" customFormat="1" ht="12.45" customHeight="1" x14ac:dyDescent="0.55000000000000004">
      <c r="C194" s="452" t="s">
        <v>246</v>
      </c>
      <c r="D194" s="453"/>
      <c r="E194" s="453"/>
      <c r="F194" s="453"/>
      <c r="G194" s="454"/>
      <c r="H194" s="249"/>
      <c r="I194" s="249"/>
      <c r="J194" s="249"/>
      <c r="K194" s="249"/>
    </row>
    <row r="195" spans="1:20" s="117" customFormat="1" ht="12.45" customHeight="1" x14ac:dyDescent="0.35">
      <c r="A195" s="250" t="s">
        <v>147</v>
      </c>
      <c r="B195" s="250" t="s">
        <v>110</v>
      </c>
      <c r="C195" s="244"/>
      <c r="D195" s="244"/>
      <c r="E195" s="244"/>
      <c r="F195" s="244"/>
      <c r="G195" s="253"/>
      <c r="H195" s="218"/>
      <c r="I195" s="218"/>
      <c r="J195" s="218"/>
      <c r="K195" s="218"/>
      <c r="L195" s="101"/>
      <c r="M195" s="101"/>
      <c r="N195" s="105"/>
      <c r="Q195" s="86"/>
      <c r="R195" s="94"/>
      <c r="S195" s="45"/>
      <c r="T195" s="95"/>
    </row>
    <row r="196" spans="1:20" s="117" customFormat="1" ht="12.45" customHeight="1" x14ac:dyDescent="0.35">
      <c r="A196" s="103" t="s">
        <v>111</v>
      </c>
      <c r="B196" s="103" t="s">
        <v>258</v>
      </c>
      <c r="C196" s="244"/>
      <c r="D196" s="244"/>
      <c r="E196" s="244">
        <v>13.8</v>
      </c>
      <c r="F196" s="253"/>
      <c r="G196" s="253"/>
      <c r="H196" s="218"/>
      <c r="I196" s="218"/>
      <c r="J196" s="218"/>
      <c r="K196" s="218"/>
      <c r="L196" s="101"/>
      <c r="M196" s="101"/>
      <c r="N196" s="105"/>
      <c r="Q196" s="86"/>
      <c r="R196" s="94"/>
      <c r="S196" s="45"/>
      <c r="T196" s="95"/>
    </row>
    <row r="197" spans="1:20" ht="12.45" customHeight="1" x14ac:dyDescent="0.55000000000000004">
      <c r="A197" s="103" t="s">
        <v>227</v>
      </c>
      <c r="B197" s="103" t="s">
        <v>258</v>
      </c>
      <c r="C197" s="244"/>
      <c r="D197" s="244"/>
      <c r="E197" s="244">
        <v>17.2</v>
      </c>
      <c r="F197" s="244"/>
      <c r="G197" s="253"/>
      <c r="H197" s="218"/>
      <c r="I197" s="218"/>
      <c r="J197" s="218"/>
      <c r="K197" s="218"/>
    </row>
    <row r="198" spans="1:20" ht="12.45" customHeight="1" x14ac:dyDescent="0.55000000000000004">
      <c r="A198" s="103" t="s">
        <v>230</v>
      </c>
      <c r="B198" s="103" t="s">
        <v>258</v>
      </c>
      <c r="C198" s="244"/>
      <c r="D198" s="244"/>
      <c r="E198" s="244">
        <v>22.8</v>
      </c>
      <c r="F198" s="244"/>
      <c r="G198" s="253"/>
      <c r="H198" s="218"/>
      <c r="I198" s="218"/>
      <c r="J198" s="218"/>
      <c r="K198" s="218"/>
    </row>
    <row r="199" spans="1:20" ht="12.45" customHeight="1" x14ac:dyDescent="0.55000000000000004">
      <c r="A199" s="103" t="s">
        <v>114</v>
      </c>
      <c r="B199" s="103" t="s">
        <v>258</v>
      </c>
      <c r="C199" s="244"/>
      <c r="D199" s="244"/>
      <c r="E199" s="244">
        <v>27.5</v>
      </c>
      <c r="F199" s="244"/>
      <c r="G199" s="253"/>
      <c r="H199" s="218"/>
      <c r="I199" s="218"/>
      <c r="J199" s="218"/>
      <c r="K199" s="218"/>
    </row>
    <row r="200" spans="1:20" ht="12.45" customHeight="1" x14ac:dyDescent="0.55000000000000004">
      <c r="A200" s="103" t="s">
        <v>115</v>
      </c>
      <c r="B200" s="103" t="s">
        <v>258</v>
      </c>
      <c r="C200" s="244"/>
      <c r="D200" s="244"/>
      <c r="E200" s="244">
        <v>34.4</v>
      </c>
      <c r="F200" s="244"/>
      <c r="G200" s="253"/>
      <c r="H200" s="218"/>
      <c r="I200" s="218"/>
      <c r="J200" s="218"/>
      <c r="K200" s="218"/>
    </row>
    <row r="201" spans="1:20" ht="12.45" customHeight="1" x14ac:dyDescent="0.55000000000000004">
      <c r="A201" s="103" t="s">
        <v>231</v>
      </c>
      <c r="B201" s="103" t="s">
        <v>258</v>
      </c>
      <c r="C201" s="244"/>
      <c r="D201" s="244"/>
      <c r="E201" s="244">
        <v>39.200000000000003</v>
      </c>
      <c r="F201" s="244"/>
      <c r="G201" s="253"/>
      <c r="H201" s="218"/>
      <c r="I201" s="218"/>
      <c r="J201" s="218"/>
      <c r="K201" s="218"/>
    </row>
    <row r="202" spans="1:20" ht="12.45" customHeight="1" x14ac:dyDescent="0.55000000000000004">
      <c r="A202" s="103" t="s">
        <v>234</v>
      </c>
      <c r="B202" s="103" t="s">
        <v>258</v>
      </c>
      <c r="C202" s="244"/>
      <c r="D202" s="244"/>
      <c r="E202" s="244">
        <v>45.8</v>
      </c>
      <c r="F202" s="244"/>
      <c r="G202" s="253"/>
      <c r="H202" s="218"/>
      <c r="I202" s="218"/>
      <c r="J202" s="218"/>
      <c r="K202" s="218"/>
    </row>
    <row r="203" spans="1:20" ht="12.45" customHeight="1" x14ac:dyDescent="0.55000000000000004">
      <c r="A203" s="103" t="s">
        <v>186</v>
      </c>
      <c r="B203" s="103" t="s">
        <v>258</v>
      </c>
      <c r="C203" s="244"/>
      <c r="D203" s="244"/>
      <c r="E203" s="244">
        <v>55</v>
      </c>
      <c r="F203" s="244"/>
      <c r="G203" s="253"/>
      <c r="H203" s="218"/>
      <c r="I203" s="218"/>
      <c r="J203" s="218"/>
      <c r="K203" s="218"/>
    </row>
    <row r="204" spans="1:20" ht="12.45" customHeight="1" x14ac:dyDescent="0.55000000000000004">
      <c r="A204" s="103" t="s">
        <v>236</v>
      </c>
      <c r="B204" s="103" t="s">
        <v>258</v>
      </c>
      <c r="C204" s="244"/>
      <c r="D204" s="244"/>
      <c r="E204" s="244">
        <v>61.9</v>
      </c>
      <c r="F204" s="244"/>
      <c r="G204" s="253"/>
      <c r="H204" s="218"/>
      <c r="I204" s="218"/>
      <c r="J204" s="218"/>
      <c r="K204" s="218"/>
    </row>
    <row r="205" spans="1:20" ht="12.45" customHeight="1" x14ac:dyDescent="0.55000000000000004">
      <c r="A205" s="103" t="s">
        <v>237</v>
      </c>
      <c r="B205" s="103" t="s">
        <v>258</v>
      </c>
      <c r="C205" s="244"/>
      <c r="D205" s="244"/>
      <c r="E205" s="244">
        <v>68.8</v>
      </c>
      <c r="F205" s="244"/>
      <c r="G205" s="253"/>
      <c r="H205" s="218"/>
      <c r="I205" s="218"/>
      <c r="J205" s="218"/>
      <c r="K205" s="218"/>
    </row>
    <row r="206" spans="1:20" ht="12.45" customHeight="1" x14ac:dyDescent="0.55000000000000004">
      <c r="A206" s="103" t="s">
        <v>228</v>
      </c>
      <c r="B206" s="103" t="s">
        <v>258</v>
      </c>
      <c r="C206" s="244"/>
      <c r="D206" s="244"/>
      <c r="E206" s="244">
        <v>75.599999999999994</v>
      </c>
      <c r="F206" s="244"/>
      <c r="G206" s="253"/>
      <c r="H206" s="218"/>
      <c r="I206" s="218"/>
      <c r="J206" s="218"/>
      <c r="K206" s="218"/>
    </row>
    <row r="207" spans="1:20" ht="12.45" customHeight="1" x14ac:dyDescent="0.55000000000000004">
      <c r="A207" s="103" t="s">
        <v>238</v>
      </c>
      <c r="B207" s="103" t="s">
        <v>258</v>
      </c>
      <c r="C207" s="244"/>
      <c r="D207" s="244"/>
      <c r="E207" s="244">
        <v>82.5</v>
      </c>
      <c r="F207" s="244"/>
      <c r="G207" s="253"/>
      <c r="H207" s="218"/>
      <c r="I207" s="218"/>
      <c r="J207" s="218"/>
      <c r="K207" s="218"/>
    </row>
    <row r="208" spans="1:20" ht="12.45" customHeight="1" x14ac:dyDescent="0.55000000000000004">
      <c r="A208" s="103" t="s">
        <v>239</v>
      </c>
      <c r="B208" s="103" t="s">
        <v>258</v>
      </c>
      <c r="C208" s="244"/>
      <c r="D208" s="244"/>
      <c r="E208" s="244">
        <v>92.1</v>
      </c>
      <c r="F208" s="244"/>
      <c r="G208" s="253"/>
      <c r="H208" s="218"/>
      <c r="I208" s="218"/>
      <c r="J208" s="218"/>
      <c r="K208" s="218"/>
    </row>
    <row r="209" spans="1:20" ht="12.45" customHeight="1" x14ac:dyDescent="0.55000000000000004">
      <c r="A209" s="103" t="s">
        <v>241</v>
      </c>
      <c r="B209" s="103" t="s">
        <v>258</v>
      </c>
      <c r="C209" s="244"/>
      <c r="D209" s="244"/>
      <c r="E209" s="244">
        <v>103.1</v>
      </c>
      <c r="F209" s="244"/>
      <c r="G209" s="253"/>
      <c r="H209" s="218"/>
      <c r="I209" s="218"/>
      <c r="J209" s="218"/>
      <c r="K209" s="218"/>
    </row>
    <row r="210" spans="1:20" ht="12.45" customHeight="1" x14ac:dyDescent="0.55000000000000004">
      <c r="A210" s="103" t="s">
        <v>148</v>
      </c>
      <c r="B210" s="103" t="s">
        <v>258</v>
      </c>
      <c r="C210" s="244"/>
      <c r="D210" s="244"/>
      <c r="E210" s="244">
        <v>110</v>
      </c>
      <c r="F210" s="244"/>
      <c r="G210" s="253"/>
      <c r="H210" s="218"/>
      <c r="I210" s="218"/>
      <c r="J210" s="218"/>
      <c r="K210" s="218"/>
    </row>
    <row r="211" spans="1:20" ht="12.45" customHeight="1" x14ac:dyDescent="0.55000000000000004">
      <c r="A211" s="103" t="s">
        <v>185</v>
      </c>
      <c r="B211" s="103" t="s">
        <v>258</v>
      </c>
      <c r="C211" s="244">
        <v>96.3</v>
      </c>
      <c r="D211" s="244">
        <v>110</v>
      </c>
      <c r="E211" s="244">
        <v>137.5</v>
      </c>
      <c r="F211" s="244">
        <v>165</v>
      </c>
      <c r="G211" s="253"/>
      <c r="H211" s="218"/>
      <c r="I211" s="218"/>
      <c r="J211" s="218"/>
      <c r="K211" s="218"/>
    </row>
    <row r="212" spans="1:20" ht="12.45" customHeight="1" x14ac:dyDescent="0.55000000000000004">
      <c r="A212" s="103" t="s">
        <v>185</v>
      </c>
      <c r="B212" s="103" t="s">
        <v>259</v>
      </c>
      <c r="C212" s="244"/>
      <c r="D212" s="244"/>
      <c r="E212" s="244"/>
      <c r="F212" s="244"/>
      <c r="G212" s="253">
        <v>173.3</v>
      </c>
      <c r="H212" s="218"/>
      <c r="I212" s="218"/>
      <c r="J212" s="218"/>
      <c r="K212" s="218"/>
    </row>
    <row r="213" spans="1:20" ht="12.45" customHeight="1" x14ac:dyDescent="0.55000000000000004">
      <c r="A213" s="103" t="s">
        <v>249</v>
      </c>
      <c r="B213" s="103" t="s">
        <v>258</v>
      </c>
      <c r="C213" s="244"/>
      <c r="D213" s="244"/>
      <c r="E213" s="244">
        <v>165</v>
      </c>
      <c r="F213" s="244"/>
      <c r="G213" s="253"/>
      <c r="H213" s="218"/>
      <c r="I213" s="218"/>
      <c r="J213" s="218"/>
      <c r="K213" s="218"/>
    </row>
    <row r="214" spans="1:20" ht="7.5" customHeight="1" x14ac:dyDescent="0.55000000000000004">
      <c r="A214" s="103"/>
      <c r="B214" s="103"/>
      <c r="C214" s="218"/>
      <c r="D214" s="218"/>
      <c r="E214" s="218"/>
      <c r="F214" s="218"/>
      <c r="G214" s="218"/>
      <c r="H214" s="218"/>
      <c r="I214" s="218"/>
      <c r="J214" s="218"/>
      <c r="K214" s="218"/>
    </row>
    <row r="215" spans="1:20" ht="7.5" customHeight="1" x14ac:dyDescent="0.55000000000000004"/>
    <row r="216" spans="1:20" s="239" customFormat="1" ht="12.45" customHeight="1" x14ac:dyDescent="0.45">
      <c r="A216" s="178" t="s">
        <v>224</v>
      </c>
      <c r="C216" s="240"/>
      <c r="D216" s="240"/>
      <c r="E216" s="240"/>
      <c r="F216" s="240"/>
      <c r="G216" s="240"/>
      <c r="H216" s="240"/>
      <c r="I216" s="240"/>
      <c r="J216" s="240"/>
      <c r="K216" s="240"/>
    </row>
    <row r="217" spans="1:20" s="241" customFormat="1" ht="12.45" customHeight="1" x14ac:dyDescent="0.35">
      <c r="B217" s="241" t="s">
        <v>206</v>
      </c>
      <c r="C217" s="242">
        <v>0.7</v>
      </c>
      <c r="D217" s="242">
        <v>0.8</v>
      </c>
      <c r="E217" s="242">
        <v>1</v>
      </c>
      <c r="F217" s="251"/>
      <c r="G217" s="248"/>
      <c r="H217" s="248"/>
      <c r="I217" s="248"/>
      <c r="J217" s="248"/>
      <c r="K217" s="248"/>
    </row>
    <row r="218" spans="1:20" s="179" customFormat="1" ht="12.45" customHeight="1" x14ac:dyDescent="0.55000000000000004">
      <c r="C218" s="452" t="s">
        <v>246</v>
      </c>
      <c r="D218" s="453"/>
      <c r="E218" s="454"/>
      <c r="F218" s="249"/>
      <c r="G218" s="249"/>
      <c r="H218" s="249"/>
      <c r="I218" s="249"/>
      <c r="J218" s="249"/>
      <c r="K218" s="249"/>
    </row>
    <row r="219" spans="1:20" s="117" customFormat="1" ht="12.45" customHeight="1" x14ac:dyDescent="0.35">
      <c r="A219" s="250" t="s">
        <v>147</v>
      </c>
      <c r="B219" s="250" t="s">
        <v>110</v>
      </c>
      <c r="C219" s="244"/>
      <c r="D219" s="244"/>
      <c r="E219" s="244"/>
      <c r="F219" s="252"/>
      <c r="G219" s="218"/>
      <c r="H219" s="218"/>
      <c r="I219" s="218"/>
      <c r="J219" s="218"/>
      <c r="K219" s="218"/>
      <c r="L219" s="101"/>
      <c r="M219" s="101"/>
      <c r="N219" s="105"/>
      <c r="Q219" s="86"/>
      <c r="R219" s="94"/>
      <c r="S219" s="45"/>
      <c r="T219" s="95"/>
    </row>
    <row r="220" spans="1:20" s="117" customFormat="1" ht="12.45" customHeight="1" x14ac:dyDescent="0.35">
      <c r="A220" s="103" t="s">
        <v>185</v>
      </c>
      <c r="B220" s="103" t="s">
        <v>258</v>
      </c>
      <c r="C220" s="244">
        <v>100</v>
      </c>
      <c r="D220" s="244"/>
      <c r="E220" s="244"/>
      <c r="F220" s="218"/>
      <c r="G220" s="218"/>
      <c r="H220" s="218"/>
      <c r="I220" s="218"/>
      <c r="J220" s="218"/>
      <c r="K220" s="218"/>
      <c r="L220" s="101"/>
      <c r="M220" s="101"/>
      <c r="N220" s="105"/>
      <c r="Q220" s="86"/>
      <c r="R220" s="94"/>
      <c r="S220" s="45"/>
      <c r="T220" s="95"/>
    </row>
    <row r="222" spans="1:20" s="239" customFormat="1" ht="12.45" customHeight="1" x14ac:dyDescent="0.45">
      <c r="A222" s="178" t="s">
        <v>541</v>
      </c>
      <c r="C222" s="240"/>
      <c r="D222" s="240"/>
      <c r="E222" s="240"/>
      <c r="F222" s="240"/>
      <c r="G222" s="240"/>
      <c r="H222" s="240"/>
      <c r="I222" s="240"/>
      <c r="J222" s="240"/>
      <c r="K222" s="240"/>
    </row>
    <row r="223" spans="1:20" s="241" customFormat="1" ht="12.45" customHeight="1" x14ac:dyDescent="0.35">
      <c r="B223" s="241" t="s">
        <v>206</v>
      </c>
      <c r="C223" s="242">
        <v>0.7</v>
      </c>
      <c r="D223" s="242">
        <v>0.8</v>
      </c>
      <c r="E223" s="242">
        <v>1</v>
      </c>
      <c r="F223" s="251"/>
      <c r="G223" s="248"/>
      <c r="H223" s="248"/>
      <c r="I223" s="248"/>
      <c r="J223" s="248"/>
      <c r="K223" s="248"/>
    </row>
    <row r="224" spans="1:20" s="179" customFormat="1" ht="12.45" customHeight="1" x14ac:dyDescent="0.55000000000000004">
      <c r="C224" s="452" t="s">
        <v>246</v>
      </c>
      <c r="D224" s="453"/>
      <c r="E224" s="454"/>
      <c r="F224" s="249"/>
      <c r="G224" s="249"/>
      <c r="H224" s="249"/>
      <c r="I224" s="249"/>
      <c r="J224" s="249"/>
      <c r="K224" s="249"/>
    </row>
    <row r="225" spans="1:20" s="117" customFormat="1" ht="12.45" customHeight="1" x14ac:dyDescent="0.35">
      <c r="A225" s="250" t="s">
        <v>147</v>
      </c>
      <c r="B225" s="250" t="s">
        <v>110</v>
      </c>
      <c r="C225" s="244"/>
      <c r="D225" s="244"/>
      <c r="E225" s="244"/>
      <c r="F225" s="252"/>
      <c r="G225" s="218"/>
      <c r="H225" s="218"/>
      <c r="I225" s="218"/>
      <c r="J225" s="218"/>
      <c r="K225" s="218"/>
      <c r="L225" s="101"/>
      <c r="M225" s="101"/>
      <c r="N225" s="105"/>
      <c r="Q225" s="86"/>
      <c r="R225" s="94"/>
      <c r="S225" s="45"/>
      <c r="T225" s="95"/>
    </row>
    <row r="226" spans="1:20" s="117" customFormat="1" ht="12.45" customHeight="1" x14ac:dyDescent="0.35">
      <c r="A226" s="103" t="s">
        <v>185</v>
      </c>
      <c r="B226" s="103" t="s">
        <v>258</v>
      </c>
      <c r="C226" s="244"/>
      <c r="D226" s="244">
        <v>112</v>
      </c>
      <c r="E226" s="244"/>
      <c r="F226" s="218"/>
      <c r="G226" s="218"/>
      <c r="H226" s="218"/>
      <c r="I226" s="218"/>
      <c r="J226" s="218"/>
      <c r="K226" s="218"/>
      <c r="L226" s="101"/>
      <c r="M226" s="101"/>
      <c r="N226" s="105"/>
      <c r="Q226" s="86"/>
      <c r="R226" s="94"/>
      <c r="S226" s="45"/>
      <c r="T226" s="95"/>
    </row>
  </sheetData>
  <sheetProtection algorithmName="SHA-512" hashValue="+zL+u1B2GVKHiiAdXXRtXZY/2WZdtKinpdLWQ6KYN/4tIi5pID04J5ZIJ9QdLswWplPYAtQKYgPvU+e5lWE9Aw==" saltValue="8INa6LZ9/PFwG9ixQYLgHA==" spinCount="100000" sheet="1" objects="1" scenarios="1"/>
  <mergeCells count="10">
    <mergeCell ref="C224:E224"/>
    <mergeCell ref="C170:G170"/>
    <mergeCell ref="C186:G186"/>
    <mergeCell ref="C194:G194"/>
    <mergeCell ref="C218:E218"/>
    <mergeCell ref="C58:F58"/>
    <mergeCell ref="C88:E88"/>
    <mergeCell ref="C114:F114"/>
    <mergeCell ref="C144:F144"/>
    <mergeCell ref="C150:G150"/>
  </mergeCells>
  <conditionalFormatting sqref="A6:K7 A9:K13 A15:K17 A19:K23 B25:K25 A26:K28 A31:K32 A35:K36 A47:K48 A59:K83">
    <cfRule type="expression" dxfId="10" priority="34">
      <formula>MOD(ROW(),2)=0</formula>
    </cfRule>
  </conditionalFormatting>
  <conditionalFormatting sqref="A39:K40">
    <cfRule type="expression" dxfId="9" priority="27">
      <formula>MOD(ROW(),2)=0</formula>
    </cfRule>
  </conditionalFormatting>
  <conditionalFormatting sqref="A89:K110">
    <cfRule type="expression" dxfId="8" priority="24">
      <formula>MOD(ROW(),2)=0</formula>
    </cfRule>
  </conditionalFormatting>
  <conditionalFormatting sqref="A115:K139">
    <cfRule type="expression" dxfId="7" priority="22">
      <formula>MOD(ROW(),2)=0</formula>
    </cfRule>
  </conditionalFormatting>
  <conditionalFormatting sqref="A145:K146">
    <cfRule type="expression" dxfId="6" priority="19">
      <formula>MOD(ROW(),2)=0</formula>
    </cfRule>
  </conditionalFormatting>
  <conditionalFormatting sqref="A151:K166">
    <cfRule type="expression" dxfId="5" priority="16">
      <formula>MOD(ROW(),2)=0</formula>
    </cfRule>
  </conditionalFormatting>
  <conditionalFormatting sqref="A171:K182">
    <cfRule type="expression" dxfId="4" priority="13">
      <formula>MOD(ROW(),2)=0</formula>
    </cfRule>
  </conditionalFormatting>
  <conditionalFormatting sqref="A187:K190">
    <cfRule type="expression" dxfId="3" priority="10">
      <formula>MOD(ROW(),2)=0</formula>
    </cfRule>
  </conditionalFormatting>
  <conditionalFormatting sqref="A195:K213">
    <cfRule type="expression" dxfId="2" priority="8">
      <formula>MOD(ROW(),2)=0</formula>
    </cfRule>
  </conditionalFormatting>
  <conditionalFormatting sqref="A219:K220">
    <cfRule type="expression" dxfId="1" priority="5">
      <formula>MOD(ROW(),2)=0</formula>
    </cfRule>
  </conditionalFormatting>
  <conditionalFormatting sqref="A225:K226">
    <cfRule type="expression" dxfId="0" priority="2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1" orientation="portrait" r:id="rId1"/>
  <headerFooter>
    <oddHeader>&amp;L&amp;G&amp;R&amp;"Century Gothic,Fett"&amp;16&amp;A</oddHeader>
  </headerFooter>
  <rowBreaks count="4" manualBreakCount="4">
    <brk id="54" max="16383" man="1"/>
    <brk id="110" max="16383" man="1"/>
    <brk id="166" max="16383" man="1"/>
    <brk id="214" max="1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E13"/>
  <sheetViews>
    <sheetView view="pageBreakPreview" zoomScaleNormal="100" zoomScaleSheetLayoutView="100" workbookViewId="0">
      <selection activeCell="A14" sqref="A14"/>
    </sheetView>
  </sheetViews>
  <sheetFormatPr baseColWidth="10" defaultColWidth="11" defaultRowHeight="18" x14ac:dyDescent="0.55000000000000004"/>
  <cols>
    <col min="1" max="1" width="46.25" style="257" customWidth="1"/>
    <col min="2" max="2" width="25.25" style="1" customWidth="1"/>
    <col min="3" max="3" width="13.125" style="1" customWidth="1"/>
    <col min="4" max="16384" width="11" style="1"/>
  </cols>
  <sheetData>
    <row r="1" spans="1:5" x14ac:dyDescent="0.55000000000000004">
      <c r="A1" s="259" t="s">
        <v>441</v>
      </c>
    </row>
    <row r="3" spans="1:5" x14ac:dyDescent="0.55000000000000004">
      <c r="A3" s="255" t="s">
        <v>165</v>
      </c>
      <c r="B3" s="256" t="s">
        <v>442</v>
      </c>
      <c r="C3" s="256" t="s">
        <v>443</v>
      </c>
      <c r="D3" s="256" t="s">
        <v>527</v>
      </c>
      <c r="E3" s="272" t="s">
        <v>744</v>
      </c>
    </row>
    <row r="4" spans="1:5" x14ac:dyDescent="0.55000000000000004">
      <c r="A4" s="304" t="s">
        <v>523</v>
      </c>
      <c r="B4" s="271" t="s">
        <v>524</v>
      </c>
      <c r="C4" s="273">
        <v>44420</v>
      </c>
      <c r="D4" s="271" t="s">
        <v>526</v>
      </c>
      <c r="E4" s="271" t="s">
        <v>745</v>
      </c>
    </row>
    <row r="5" spans="1:5" x14ac:dyDescent="0.55000000000000004">
      <c r="A5" s="304" t="s">
        <v>525</v>
      </c>
      <c r="B5" s="271" t="s">
        <v>526</v>
      </c>
      <c r="C5" s="273">
        <v>44420</v>
      </c>
      <c r="D5" s="271" t="s">
        <v>526</v>
      </c>
      <c r="E5" s="271" t="s">
        <v>745</v>
      </c>
    </row>
    <row r="6" spans="1:5" s="271" customFormat="1" x14ac:dyDescent="0.55000000000000004">
      <c r="A6" s="304" t="s">
        <v>529</v>
      </c>
      <c r="B6" s="271" t="s">
        <v>530</v>
      </c>
      <c r="C6" s="273">
        <v>44432</v>
      </c>
      <c r="D6" s="271" t="s">
        <v>528</v>
      </c>
      <c r="E6" s="271" t="s">
        <v>745</v>
      </c>
    </row>
    <row r="7" spans="1:5" s="271" customFormat="1" x14ac:dyDescent="0.55000000000000004">
      <c r="A7" s="304" t="s">
        <v>551</v>
      </c>
      <c r="B7" s="271" t="s">
        <v>552</v>
      </c>
      <c r="C7" s="273">
        <v>44454</v>
      </c>
      <c r="D7" s="271" t="s">
        <v>528</v>
      </c>
      <c r="E7" s="271" t="s">
        <v>745</v>
      </c>
    </row>
    <row r="8" spans="1:5" s="271" customFormat="1" x14ac:dyDescent="0.55000000000000004">
      <c r="A8" s="304" t="s">
        <v>522</v>
      </c>
      <c r="B8" s="271" t="s">
        <v>743</v>
      </c>
      <c r="C8" s="258">
        <v>44424</v>
      </c>
      <c r="D8" s="299" t="s">
        <v>748</v>
      </c>
      <c r="E8" s="303" t="s">
        <v>745</v>
      </c>
    </row>
    <row r="9" spans="1:5" s="271" customFormat="1" x14ac:dyDescent="0.55000000000000004">
      <c r="A9" s="304" t="s">
        <v>747</v>
      </c>
      <c r="B9" s="299" t="s">
        <v>524</v>
      </c>
      <c r="C9" s="258">
        <v>44489</v>
      </c>
      <c r="D9" s="299" t="s">
        <v>526</v>
      </c>
      <c r="E9" s="303" t="s">
        <v>745</v>
      </c>
    </row>
    <row r="10" spans="1:5" x14ac:dyDescent="0.55000000000000004">
      <c r="A10" s="304" t="s">
        <v>757</v>
      </c>
      <c r="B10" s="326" t="s">
        <v>758</v>
      </c>
      <c r="C10" s="327">
        <v>44517</v>
      </c>
      <c r="D10" s="326" t="s">
        <v>528</v>
      </c>
      <c r="E10" s="328" t="s">
        <v>745</v>
      </c>
    </row>
    <row r="11" spans="1:5" x14ac:dyDescent="0.55000000000000004">
      <c r="A11" s="257" t="s">
        <v>444</v>
      </c>
      <c r="B11" s="1" t="s">
        <v>445</v>
      </c>
      <c r="C11" s="258">
        <v>44411</v>
      </c>
      <c r="D11" s="1" t="s">
        <v>528</v>
      </c>
    </row>
    <row r="12" spans="1:5" x14ac:dyDescent="0.55000000000000004">
      <c r="A12" s="329" t="s">
        <v>759</v>
      </c>
      <c r="B12" s="303" t="s">
        <v>756</v>
      </c>
      <c r="C12" s="258">
        <v>44517</v>
      </c>
      <c r="D12" s="303" t="s">
        <v>528</v>
      </c>
    </row>
    <row r="13" spans="1:5" x14ac:dyDescent="0.55000000000000004">
      <c r="A13" s="368" t="s">
        <v>788</v>
      </c>
      <c r="B13" s="369" t="s">
        <v>758</v>
      </c>
      <c r="C13" s="258">
        <v>44894</v>
      </c>
      <c r="D13" s="369" t="s">
        <v>748</v>
      </c>
    </row>
  </sheetData>
  <autoFilter ref="A3:E12" xr:uid="{00000000-0009-0000-0000-00000B000000}">
    <sortState xmlns:xlrd2="http://schemas.microsoft.com/office/spreadsheetml/2017/richdata2" ref="A4:E12">
      <sortCondition descending="1" ref="E3:E12"/>
    </sortState>
  </autoFilter>
  <pageMargins left="0.7" right="0.7" top="0.78740157499999996" bottom="0.78740157499999996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9" tint="-0.499984740745262"/>
  </sheetPr>
  <dimension ref="B1:Z393"/>
  <sheetViews>
    <sheetView showGridLines="0" view="pageBreakPreview" topLeftCell="A136" zoomScaleNormal="100" zoomScaleSheetLayoutView="100" workbookViewId="0">
      <selection activeCell="O7" sqref="O7"/>
    </sheetView>
  </sheetViews>
  <sheetFormatPr baseColWidth="10" defaultColWidth="11.25" defaultRowHeight="18" outlineLevelRow="1" outlineLevelCol="1" x14ac:dyDescent="0.35"/>
  <cols>
    <col min="1" max="1" width="13.75" style="19" customWidth="1"/>
    <col min="2" max="2" width="8.75" style="17" customWidth="1"/>
    <col min="3" max="3" width="1.25" style="18" customWidth="1"/>
    <col min="4" max="5" width="4.75" style="19" customWidth="1"/>
    <col min="6" max="6" width="10.75" style="19" customWidth="1"/>
    <col min="7" max="16" width="4.75" style="19" customWidth="1"/>
    <col min="17" max="17" width="4.75" style="19" hidden="1" customWidth="1" outlineLevel="1"/>
    <col min="18" max="18" width="8.25" style="19" hidden="1" customWidth="1" outlineLevel="1"/>
    <col min="19" max="19" width="11.5625" style="19" hidden="1" customWidth="1" outlineLevel="1"/>
    <col min="20" max="20" width="8.4375" style="19" hidden="1" customWidth="1" outlineLevel="1"/>
    <col min="21" max="21" width="5.75" style="19" hidden="1" customWidth="1" outlineLevel="1"/>
    <col min="22" max="22" width="14" style="19" hidden="1" customWidth="1" outlineLevel="1"/>
    <col min="23" max="25" width="11.25" style="19" hidden="1" customWidth="1" outlineLevel="1"/>
    <col min="26" max="26" width="11.25" style="19" customWidth="1" collapsed="1"/>
    <col min="27" max="16384" width="11.25" style="19"/>
  </cols>
  <sheetData>
    <row r="1" spans="2:24" ht="18.45" thickBot="1" x14ac:dyDescent="0.4">
      <c r="B1" s="17" t="s">
        <v>6</v>
      </c>
      <c r="N1" s="20" t="s">
        <v>4</v>
      </c>
      <c r="O1" s="20"/>
      <c r="P1" s="20"/>
      <c r="Q1" s="262"/>
      <c r="R1" s="262" t="s">
        <v>23</v>
      </c>
      <c r="S1" s="284" t="s">
        <v>24</v>
      </c>
      <c r="T1" s="277">
        <v>14</v>
      </c>
      <c r="U1" s="228">
        <f>(1-T4)*(1+T5)</f>
        <v>0</v>
      </c>
      <c r="V1" s="266" t="s">
        <v>48</v>
      </c>
      <c r="W1" s="277">
        <v>49</v>
      </c>
    </row>
    <row r="2" spans="2:24" ht="18.45" thickBot="1" x14ac:dyDescent="0.4">
      <c r="L2" s="20"/>
      <c r="N2" s="21"/>
      <c r="O2" s="21"/>
      <c r="P2" s="21"/>
      <c r="Q2" s="228"/>
      <c r="R2" s="228"/>
      <c r="S2" s="284" t="s">
        <v>25</v>
      </c>
      <c r="T2" s="277">
        <v>14</v>
      </c>
      <c r="U2" s="228"/>
      <c r="V2" s="228"/>
      <c r="W2" s="228"/>
    </row>
    <row r="3" spans="2:24" ht="18.45" thickBot="1" x14ac:dyDescent="0.4">
      <c r="H3" s="23" t="s">
        <v>573</v>
      </c>
      <c r="I3" s="24"/>
      <c r="J3" s="25" t="s">
        <v>260</v>
      </c>
      <c r="K3" s="25"/>
      <c r="L3" s="25" t="s">
        <v>261</v>
      </c>
      <c r="M3" s="25"/>
      <c r="N3" s="25" t="s">
        <v>262</v>
      </c>
      <c r="O3" s="25" t="s">
        <v>263</v>
      </c>
      <c r="P3" s="25" t="s">
        <v>264</v>
      </c>
      <c r="Q3" s="263"/>
      <c r="R3" s="263"/>
      <c r="S3" s="284" t="s">
        <v>41</v>
      </c>
      <c r="T3" s="277">
        <v>99</v>
      </c>
      <c r="U3" s="228"/>
      <c r="V3" s="228"/>
      <c r="W3" s="228"/>
    </row>
    <row r="4" spans="2:24" s="26" customFormat="1" ht="29.15" customHeight="1" thickBot="1" x14ac:dyDescent="0.4">
      <c r="B4" s="27" t="s">
        <v>0</v>
      </c>
      <c r="C4" s="28"/>
      <c r="D4" s="27"/>
      <c r="E4" s="27"/>
      <c r="F4" s="27"/>
      <c r="G4" s="27"/>
      <c r="I4" s="29" t="s">
        <v>32</v>
      </c>
      <c r="J4" s="30" t="s">
        <v>12</v>
      </c>
      <c r="K4" s="29" t="s">
        <v>33</v>
      </c>
      <c r="L4" s="30" t="s">
        <v>13</v>
      </c>
      <c r="M4" s="31" t="s">
        <v>34</v>
      </c>
      <c r="N4" s="29" t="s">
        <v>34</v>
      </c>
      <c r="O4" s="30" t="s">
        <v>14</v>
      </c>
      <c r="P4" s="30" t="s">
        <v>35</v>
      </c>
      <c r="Q4" s="263"/>
      <c r="R4" s="263"/>
      <c r="S4" s="285" t="s">
        <v>30</v>
      </c>
      <c r="T4" s="269">
        <f>Inhaltsverzeichnis!K15</f>
        <v>1</v>
      </c>
      <c r="U4" s="263"/>
      <c r="V4" s="263"/>
      <c r="W4" s="263"/>
    </row>
    <row r="5" spans="2:24" s="26" customFormat="1" ht="12" thickBot="1" x14ac:dyDescent="0.4">
      <c r="B5" s="27" t="s">
        <v>5</v>
      </c>
      <c r="C5" s="28"/>
      <c r="D5" s="27"/>
      <c r="E5" s="27"/>
      <c r="F5" s="27"/>
      <c r="G5" s="27"/>
      <c r="I5" s="34">
        <v>0.6</v>
      </c>
      <c r="J5" s="35">
        <v>0.6</v>
      </c>
      <c r="K5" s="34">
        <v>0.6</v>
      </c>
      <c r="L5" s="36">
        <v>0.6</v>
      </c>
      <c r="M5" s="37">
        <v>0.6</v>
      </c>
      <c r="N5" s="38">
        <v>0.7</v>
      </c>
      <c r="O5" s="36">
        <v>0.7</v>
      </c>
      <c r="P5" s="36">
        <v>0.7</v>
      </c>
      <c r="Q5" s="263"/>
      <c r="R5" s="263"/>
      <c r="S5" s="284" t="s">
        <v>31</v>
      </c>
      <c r="T5" s="270"/>
      <c r="U5" s="263"/>
      <c r="V5" s="263"/>
      <c r="W5" s="263"/>
    </row>
    <row r="6" spans="2:24" s="26" customFormat="1" ht="11.6" x14ac:dyDescent="0.35">
      <c r="B6" s="39"/>
      <c r="C6" s="28"/>
      <c r="D6" s="27"/>
      <c r="E6" s="27"/>
      <c r="F6" s="27"/>
      <c r="G6" s="27"/>
      <c r="I6" s="40">
        <f>(10.8/2)*0.2</f>
        <v>1.08</v>
      </c>
      <c r="J6" s="40">
        <f>(10.8/2)*0.25</f>
        <v>1.35</v>
      </c>
      <c r="K6" s="40">
        <f>(10.8/2)*0.28</f>
        <v>1.5120000000000002</v>
      </c>
      <c r="L6" s="41">
        <f>(10.8/2)*0.33</f>
        <v>1.7820000000000003</v>
      </c>
      <c r="M6" s="41">
        <f>(10.8/2)*0.33</f>
        <v>1.7820000000000003</v>
      </c>
      <c r="N6" s="41">
        <f>(12.6/2)*0.33</f>
        <v>2.0790000000000002</v>
      </c>
      <c r="O6" s="41">
        <f>(12.6/2)*0.4</f>
        <v>2.52</v>
      </c>
      <c r="P6" s="41">
        <f>(12.6/2)*0.4</f>
        <v>2.52</v>
      </c>
      <c r="S6" s="42"/>
      <c r="T6" s="43"/>
    </row>
    <row r="7" spans="2:24" s="45" customFormat="1" ht="11.6" x14ac:dyDescent="0.35">
      <c r="B7" s="26" t="s">
        <v>28</v>
      </c>
      <c r="C7" s="44"/>
      <c r="I7" s="46">
        <v>0.54</v>
      </c>
      <c r="J7" s="46">
        <v>0.49</v>
      </c>
      <c r="K7" s="46">
        <v>0.55000000000000004</v>
      </c>
      <c r="L7" s="46">
        <v>0.44</v>
      </c>
      <c r="M7" s="47">
        <v>0.45500000000000002</v>
      </c>
      <c r="N7" s="47">
        <v>0.45</v>
      </c>
      <c r="O7" s="46">
        <v>0.39</v>
      </c>
      <c r="P7" s="46">
        <v>0.46</v>
      </c>
      <c r="U7" s="26"/>
    </row>
    <row r="8" spans="2:24" s="45" customFormat="1" ht="12.45" hidden="1" customHeight="1" outlineLevel="1" x14ac:dyDescent="0.35">
      <c r="B8" s="23">
        <v>601</v>
      </c>
      <c r="C8" s="42" t="s">
        <v>21</v>
      </c>
      <c r="D8" s="48">
        <f t="shared" ref="D8:D38" si="0">B8+$T$8</f>
        <v>615</v>
      </c>
      <c r="E8" s="48"/>
      <c r="F8" s="48"/>
      <c r="I8" s="49">
        <f t="shared" ref="I8:I38" si="1">$U$1*($I$6*D8/100)/(100%-$I$7)</f>
        <v>0</v>
      </c>
      <c r="J8" s="50">
        <f t="shared" ref="J8:J38" si="2">$U$1*($J$6*D8/100)/(100%-$J$7)</f>
        <v>0</v>
      </c>
      <c r="K8" s="49">
        <f t="shared" ref="K8:K38" si="3">$U$1*($K$6*D8/100)/(100%-$K$7)</f>
        <v>0</v>
      </c>
      <c r="L8" s="50">
        <f t="shared" ref="L8:L38" si="4">$U$1*($L$6*D8/100)/(100%-$L$7)</f>
        <v>0</v>
      </c>
      <c r="M8" s="51">
        <f t="shared" ref="M8:M38" si="5">$U$1*($M$6*D8/100)/(100%-$M$7)</f>
        <v>0</v>
      </c>
      <c r="N8" s="49">
        <f t="shared" ref="N8:N38" si="6">$U$1*($N$6*D8/100)/(100%-$N$7)</f>
        <v>0</v>
      </c>
      <c r="O8" s="50">
        <f t="shared" ref="O8:O38" si="7">$U$1*($O$6*D8/100)/(100%-$O$7)</f>
        <v>0</v>
      </c>
      <c r="P8" s="50">
        <f t="shared" ref="P8:P38" si="8">$U$1*($P$6*D8/100)/(100%-$P$7)</f>
        <v>0</v>
      </c>
      <c r="S8" s="176" t="s">
        <v>22</v>
      </c>
      <c r="T8" s="53">
        <f>T1</f>
        <v>14</v>
      </c>
    </row>
    <row r="9" spans="2:24" s="45" customFormat="1" ht="12.45" hidden="1" customHeight="1" outlineLevel="1" x14ac:dyDescent="0.35">
      <c r="B9" s="23">
        <f t="shared" ref="B9:B34" si="9">D8+1</f>
        <v>616</v>
      </c>
      <c r="C9" s="42" t="s">
        <v>21</v>
      </c>
      <c r="D9" s="23">
        <f t="shared" si="0"/>
        <v>630</v>
      </c>
      <c r="E9" s="23"/>
      <c r="F9" s="23"/>
      <c r="I9" s="49">
        <f t="shared" si="1"/>
        <v>0</v>
      </c>
      <c r="J9" s="50">
        <f t="shared" si="2"/>
        <v>0</v>
      </c>
      <c r="K9" s="49">
        <f t="shared" si="3"/>
        <v>0</v>
      </c>
      <c r="L9" s="50">
        <f t="shared" si="4"/>
        <v>0</v>
      </c>
      <c r="M9" s="51">
        <f t="shared" si="5"/>
        <v>0</v>
      </c>
      <c r="N9" s="49">
        <f t="shared" si="6"/>
        <v>0</v>
      </c>
      <c r="O9" s="50">
        <f t="shared" si="7"/>
        <v>0</v>
      </c>
      <c r="P9" s="50">
        <f t="shared" si="8"/>
        <v>0</v>
      </c>
    </row>
    <row r="10" spans="2:24" s="45" customFormat="1" ht="12.45" hidden="1" customHeight="1" outlineLevel="1" x14ac:dyDescent="0.35">
      <c r="B10" s="23">
        <f t="shared" si="9"/>
        <v>631</v>
      </c>
      <c r="C10" s="42" t="s">
        <v>21</v>
      </c>
      <c r="D10" s="23">
        <f t="shared" si="0"/>
        <v>645</v>
      </c>
      <c r="E10" s="23"/>
      <c r="F10" s="23"/>
      <c r="I10" s="49">
        <f t="shared" si="1"/>
        <v>0</v>
      </c>
      <c r="J10" s="50">
        <f t="shared" si="2"/>
        <v>0</v>
      </c>
      <c r="K10" s="49">
        <f t="shared" si="3"/>
        <v>0</v>
      </c>
      <c r="L10" s="50">
        <f t="shared" si="4"/>
        <v>0</v>
      </c>
      <c r="M10" s="51">
        <f t="shared" si="5"/>
        <v>0</v>
      </c>
      <c r="N10" s="49">
        <f t="shared" si="6"/>
        <v>0</v>
      </c>
      <c r="O10" s="50">
        <f t="shared" si="7"/>
        <v>0</v>
      </c>
      <c r="P10" s="50">
        <f t="shared" si="8"/>
        <v>0</v>
      </c>
    </row>
    <row r="11" spans="2:24" s="45" customFormat="1" ht="12.45" hidden="1" customHeight="1" outlineLevel="1" x14ac:dyDescent="0.35">
      <c r="B11" s="23">
        <f t="shared" si="9"/>
        <v>646</v>
      </c>
      <c r="C11" s="42" t="s">
        <v>21</v>
      </c>
      <c r="D11" s="23">
        <f t="shared" si="0"/>
        <v>660</v>
      </c>
      <c r="E11" s="23"/>
      <c r="F11" s="23"/>
      <c r="I11" s="49">
        <f t="shared" si="1"/>
        <v>0</v>
      </c>
      <c r="J11" s="50">
        <f t="shared" si="2"/>
        <v>0</v>
      </c>
      <c r="K11" s="49">
        <f t="shared" si="3"/>
        <v>0</v>
      </c>
      <c r="L11" s="50">
        <f t="shared" si="4"/>
        <v>0</v>
      </c>
      <c r="M11" s="51">
        <f t="shared" si="5"/>
        <v>0</v>
      </c>
      <c r="N11" s="49">
        <f t="shared" si="6"/>
        <v>0</v>
      </c>
      <c r="O11" s="50">
        <f t="shared" si="7"/>
        <v>0</v>
      </c>
      <c r="P11" s="50">
        <f t="shared" si="8"/>
        <v>0</v>
      </c>
      <c r="S11" s="54"/>
      <c r="T11" s="54"/>
      <c r="U11" s="54"/>
      <c r="V11" s="54"/>
    </row>
    <row r="12" spans="2:24" s="45" customFormat="1" ht="12.45" hidden="1" customHeight="1" outlineLevel="1" x14ac:dyDescent="0.35">
      <c r="B12" s="23">
        <f t="shared" si="9"/>
        <v>661</v>
      </c>
      <c r="C12" s="42" t="s">
        <v>21</v>
      </c>
      <c r="D12" s="23">
        <f t="shared" si="0"/>
        <v>675</v>
      </c>
      <c r="E12" s="23"/>
      <c r="F12" s="23"/>
      <c r="I12" s="49">
        <f t="shared" si="1"/>
        <v>0</v>
      </c>
      <c r="J12" s="50">
        <f t="shared" si="2"/>
        <v>0</v>
      </c>
      <c r="K12" s="49">
        <f t="shared" si="3"/>
        <v>0</v>
      </c>
      <c r="L12" s="50">
        <f t="shared" si="4"/>
        <v>0</v>
      </c>
      <c r="M12" s="51">
        <f t="shared" si="5"/>
        <v>0</v>
      </c>
      <c r="N12" s="49">
        <f t="shared" si="6"/>
        <v>0</v>
      </c>
      <c r="O12" s="50">
        <f t="shared" si="7"/>
        <v>0</v>
      </c>
      <c r="P12" s="50">
        <f t="shared" si="8"/>
        <v>0</v>
      </c>
      <c r="W12" s="55"/>
      <c r="X12" s="56"/>
    </row>
    <row r="13" spans="2:24" s="45" customFormat="1" ht="12.45" hidden="1" customHeight="1" outlineLevel="1" x14ac:dyDescent="0.35">
      <c r="B13" s="23">
        <f t="shared" si="9"/>
        <v>676</v>
      </c>
      <c r="C13" s="42" t="s">
        <v>21</v>
      </c>
      <c r="D13" s="23">
        <f t="shared" si="0"/>
        <v>690</v>
      </c>
      <c r="E13" s="23"/>
      <c r="F13" s="23"/>
      <c r="I13" s="49">
        <f t="shared" si="1"/>
        <v>0</v>
      </c>
      <c r="J13" s="50">
        <f t="shared" si="2"/>
        <v>0</v>
      </c>
      <c r="K13" s="49">
        <f t="shared" si="3"/>
        <v>0</v>
      </c>
      <c r="L13" s="50">
        <f t="shared" si="4"/>
        <v>0</v>
      </c>
      <c r="M13" s="51">
        <f t="shared" si="5"/>
        <v>0</v>
      </c>
      <c r="N13" s="49">
        <f t="shared" si="6"/>
        <v>0</v>
      </c>
      <c r="O13" s="50">
        <f t="shared" si="7"/>
        <v>0</v>
      </c>
      <c r="P13" s="50">
        <f t="shared" si="8"/>
        <v>0</v>
      </c>
    </row>
    <row r="14" spans="2:24" s="45" customFormat="1" ht="12.45" hidden="1" customHeight="1" outlineLevel="1" x14ac:dyDescent="0.35">
      <c r="B14" s="23">
        <f t="shared" si="9"/>
        <v>691</v>
      </c>
      <c r="C14" s="42" t="s">
        <v>21</v>
      </c>
      <c r="D14" s="23">
        <f t="shared" si="0"/>
        <v>705</v>
      </c>
      <c r="E14" s="23"/>
      <c r="F14" s="23"/>
      <c r="I14" s="49">
        <f t="shared" si="1"/>
        <v>0</v>
      </c>
      <c r="J14" s="50">
        <f t="shared" si="2"/>
        <v>0</v>
      </c>
      <c r="K14" s="49">
        <f t="shared" si="3"/>
        <v>0</v>
      </c>
      <c r="L14" s="50">
        <f t="shared" si="4"/>
        <v>0</v>
      </c>
      <c r="M14" s="51">
        <f t="shared" si="5"/>
        <v>0</v>
      </c>
      <c r="N14" s="49">
        <f t="shared" si="6"/>
        <v>0</v>
      </c>
      <c r="O14" s="50">
        <f t="shared" si="7"/>
        <v>0</v>
      </c>
      <c r="P14" s="50">
        <f t="shared" si="8"/>
        <v>0</v>
      </c>
    </row>
    <row r="15" spans="2:24" ht="12.45" hidden="1" customHeight="1" outlineLevel="1" x14ac:dyDescent="0.35">
      <c r="B15" s="23">
        <f t="shared" si="9"/>
        <v>706</v>
      </c>
      <c r="C15" s="42" t="s">
        <v>21</v>
      </c>
      <c r="D15" s="23">
        <f t="shared" si="0"/>
        <v>720</v>
      </c>
      <c r="E15" s="23"/>
      <c r="F15" s="23"/>
      <c r="I15" s="49">
        <f t="shared" si="1"/>
        <v>0</v>
      </c>
      <c r="J15" s="50">
        <f t="shared" si="2"/>
        <v>0</v>
      </c>
      <c r="K15" s="49">
        <f t="shared" si="3"/>
        <v>0</v>
      </c>
      <c r="L15" s="50">
        <f t="shared" si="4"/>
        <v>0</v>
      </c>
      <c r="M15" s="51">
        <f t="shared" si="5"/>
        <v>0</v>
      </c>
      <c r="N15" s="49">
        <f t="shared" si="6"/>
        <v>0</v>
      </c>
      <c r="O15" s="50">
        <f t="shared" si="7"/>
        <v>0</v>
      </c>
      <c r="P15" s="50">
        <f t="shared" si="8"/>
        <v>0</v>
      </c>
      <c r="U15" s="45"/>
    </row>
    <row r="16" spans="2:24" ht="12.45" hidden="1" customHeight="1" outlineLevel="1" x14ac:dyDescent="0.35">
      <c r="B16" s="23">
        <f t="shared" si="9"/>
        <v>721</v>
      </c>
      <c r="C16" s="42" t="s">
        <v>21</v>
      </c>
      <c r="D16" s="23">
        <f t="shared" si="0"/>
        <v>735</v>
      </c>
      <c r="E16" s="23"/>
      <c r="F16" s="23"/>
      <c r="I16" s="49">
        <f t="shared" si="1"/>
        <v>0</v>
      </c>
      <c r="J16" s="50">
        <f t="shared" si="2"/>
        <v>0</v>
      </c>
      <c r="K16" s="49">
        <f t="shared" si="3"/>
        <v>0</v>
      </c>
      <c r="L16" s="50">
        <f t="shared" si="4"/>
        <v>0</v>
      </c>
      <c r="M16" s="51">
        <f t="shared" si="5"/>
        <v>0</v>
      </c>
      <c r="N16" s="49">
        <f t="shared" si="6"/>
        <v>0</v>
      </c>
      <c r="O16" s="50">
        <f t="shared" si="7"/>
        <v>0</v>
      </c>
      <c r="P16" s="50">
        <f t="shared" si="8"/>
        <v>0</v>
      </c>
    </row>
    <row r="17" spans="2:16" ht="12.45" hidden="1" customHeight="1" outlineLevel="1" x14ac:dyDescent="0.35">
      <c r="B17" s="23">
        <f t="shared" si="9"/>
        <v>736</v>
      </c>
      <c r="C17" s="42" t="s">
        <v>21</v>
      </c>
      <c r="D17" s="23">
        <f t="shared" si="0"/>
        <v>750</v>
      </c>
      <c r="E17" s="23"/>
      <c r="F17" s="23"/>
      <c r="I17" s="49">
        <f t="shared" si="1"/>
        <v>0</v>
      </c>
      <c r="J17" s="50">
        <f t="shared" si="2"/>
        <v>0</v>
      </c>
      <c r="K17" s="49">
        <f t="shared" si="3"/>
        <v>0</v>
      </c>
      <c r="L17" s="50">
        <f t="shared" si="4"/>
        <v>0</v>
      </c>
      <c r="M17" s="51">
        <f t="shared" si="5"/>
        <v>0</v>
      </c>
      <c r="N17" s="49">
        <f t="shared" si="6"/>
        <v>0</v>
      </c>
      <c r="O17" s="50">
        <f t="shared" si="7"/>
        <v>0</v>
      </c>
      <c r="P17" s="50">
        <f t="shared" si="8"/>
        <v>0</v>
      </c>
    </row>
    <row r="18" spans="2:16" ht="12.45" hidden="1" customHeight="1" outlineLevel="1" x14ac:dyDescent="0.35">
      <c r="B18" s="23">
        <f t="shared" si="9"/>
        <v>751</v>
      </c>
      <c r="C18" s="42" t="s">
        <v>21</v>
      </c>
      <c r="D18" s="23">
        <f t="shared" si="0"/>
        <v>765</v>
      </c>
      <c r="E18" s="23"/>
      <c r="F18" s="23"/>
      <c r="I18" s="49">
        <f t="shared" si="1"/>
        <v>0</v>
      </c>
      <c r="J18" s="50">
        <f t="shared" si="2"/>
        <v>0</v>
      </c>
      <c r="K18" s="49">
        <f t="shared" si="3"/>
        <v>0</v>
      </c>
      <c r="L18" s="50">
        <f t="shared" si="4"/>
        <v>0</v>
      </c>
      <c r="M18" s="51">
        <f t="shared" si="5"/>
        <v>0</v>
      </c>
      <c r="N18" s="49">
        <f t="shared" si="6"/>
        <v>0</v>
      </c>
      <c r="O18" s="50">
        <f t="shared" si="7"/>
        <v>0</v>
      </c>
      <c r="P18" s="50">
        <f t="shared" si="8"/>
        <v>0</v>
      </c>
    </row>
    <row r="19" spans="2:16" ht="12.45" hidden="1" customHeight="1" outlineLevel="1" x14ac:dyDescent="0.35">
      <c r="B19" s="23">
        <f t="shared" si="9"/>
        <v>766</v>
      </c>
      <c r="C19" s="42" t="s">
        <v>21</v>
      </c>
      <c r="D19" s="23">
        <f t="shared" si="0"/>
        <v>780</v>
      </c>
      <c r="E19" s="23"/>
      <c r="F19" s="23"/>
      <c r="I19" s="49">
        <f t="shared" si="1"/>
        <v>0</v>
      </c>
      <c r="J19" s="50">
        <f t="shared" si="2"/>
        <v>0</v>
      </c>
      <c r="K19" s="49">
        <f t="shared" si="3"/>
        <v>0</v>
      </c>
      <c r="L19" s="50">
        <f t="shared" si="4"/>
        <v>0</v>
      </c>
      <c r="M19" s="51">
        <f t="shared" si="5"/>
        <v>0</v>
      </c>
      <c r="N19" s="49">
        <f t="shared" si="6"/>
        <v>0</v>
      </c>
      <c r="O19" s="50">
        <f t="shared" si="7"/>
        <v>0</v>
      </c>
      <c r="P19" s="50">
        <f t="shared" si="8"/>
        <v>0</v>
      </c>
    </row>
    <row r="20" spans="2:16" ht="12.45" hidden="1" customHeight="1" outlineLevel="1" x14ac:dyDescent="0.35">
      <c r="B20" s="23">
        <f t="shared" si="9"/>
        <v>781</v>
      </c>
      <c r="C20" s="42" t="s">
        <v>21</v>
      </c>
      <c r="D20" s="23">
        <f t="shared" si="0"/>
        <v>795</v>
      </c>
      <c r="E20" s="23"/>
      <c r="F20" s="23"/>
      <c r="I20" s="49">
        <f t="shared" si="1"/>
        <v>0</v>
      </c>
      <c r="J20" s="50">
        <f t="shared" si="2"/>
        <v>0</v>
      </c>
      <c r="K20" s="49">
        <f t="shared" si="3"/>
        <v>0</v>
      </c>
      <c r="L20" s="50">
        <f t="shared" si="4"/>
        <v>0</v>
      </c>
      <c r="M20" s="51">
        <f t="shared" si="5"/>
        <v>0</v>
      </c>
      <c r="N20" s="49">
        <f t="shared" si="6"/>
        <v>0</v>
      </c>
      <c r="O20" s="50">
        <f t="shared" si="7"/>
        <v>0</v>
      </c>
      <c r="P20" s="50">
        <f t="shared" si="8"/>
        <v>0</v>
      </c>
    </row>
    <row r="21" spans="2:16" ht="12.45" hidden="1" customHeight="1" outlineLevel="1" x14ac:dyDescent="0.35">
      <c r="B21" s="23">
        <f t="shared" si="9"/>
        <v>796</v>
      </c>
      <c r="C21" s="42" t="s">
        <v>21</v>
      </c>
      <c r="D21" s="23">
        <f t="shared" si="0"/>
        <v>810</v>
      </c>
      <c r="E21" s="23"/>
      <c r="F21" s="23"/>
      <c r="I21" s="49">
        <f t="shared" si="1"/>
        <v>0</v>
      </c>
      <c r="J21" s="50">
        <f t="shared" si="2"/>
        <v>0</v>
      </c>
      <c r="K21" s="49">
        <f t="shared" si="3"/>
        <v>0</v>
      </c>
      <c r="L21" s="50">
        <f t="shared" si="4"/>
        <v>0</v>
      </c>
      <c r="M21" s="51">
        <f t="shared" si="5"/>
        <v>0</v>
      </c>
      <c r="N21" s="49">
        <f t="shared" si="6"/>
        <v>0</v>
      </c>
      <c r="O21" s="50">
        <f t="shared" si="7"/>
        <v>0</v>
      </c>
      <c r="P21" s="50">
        <f t="shared" si="8"/>
        <v>0</v>
      </c>
    </row>
    <row r="22" spans="2:16" ht="12.45" hidden="1" customHeight="1" outlineLevel="1" x14ac:dyDescent="0.35">
      <c r="B22" s="23">
        <f t="shared" si="9"/>
        <v>811</v>
      </c>
      <c r="C22" s="42" t="s">
        <v>21</v>
      </c>
      <c r="D22" s="23">
        <f t="shared" si="0"/>
        <v>825</v>
      </c>
      <c r="E22" s="23"/>
      <c r="F22" s="23"/>
      <c r="I22" s="49">
        <f t="shared" si="1"/>
        <v>0</v>
      </c>
      <c r="J22" s="50">
        <f t="shared" si="2"/>
        <v>0</v>
      </c>
      <c r="K22" s="49">
        <f t="shared" si="3"/>
        <v>0</v>
      </c>
      <c r="L22" s="50">
        <f t="shared" si="4"/>
        <v>0</v>
      </c>
      <c r="M22" s="51">
        <f t="shared" si="5"/>
        <v>0</v>
      </c>
      <c r="N22" s="49">
        <f t="shared" si="6"/>
        <v>0</v>
      </c>
      <c r="O22" s="50">
        <f t="shared" si="7"/>
        <v>0</v>
      </c>
      <c r="P22" s="50">
        <f t="shared" si="8"/>
        <v>0</v>
      </c>
    </row>
    <row r="23" spans="2:16" ht="12.45" hidden="1" customHeight="1" outlineLevel="1" x14ac:dyDescent="0.35">
      <c r="B23" s="23">
        <f t="shared" si="9"/>
        <v>826</v>
      </c>
      <c r="C23" s="42" t="s">
        <v>21</v>
      </c>
      <c r="D23" s="23">
        <f t="shared" si="0"/>
        <v>840</v>
      </c>
      <c r="E23" s="23"/>
      <c r="F23" s="23"/>
      <c r="I23" s="49">
        <f t="shared" si="1"/>
        <v>0</v>
      </c>
      <c r="J23" s="50">
        <f t="shared" si="2"/>
        <v>0</v>
      </c>
      <c r="K23" s="49">
        <f t="shared" si="3"/>
        <v>0</v>
      </c>
      <c r="L23" s="50">
        <f t="shared" si="4"/>
        <v>0</v>
      </c>
      <c r="M23" s="51">
        <f t="shared" si="5"/>
        <v>0</v>
      </c>
      <c r="N23" s="49">
        <f t="shared" si="6"/>
        <v>0</v>
      </c>
      <c r="O23" s="50">
        <f t="shared" si="7"/>
        <v>0</v>
      </c>
      <c r="P23" s="50">
        <f t="shared" si="8"/>
        <v>0</v>
      </c>
    </row>
    <row r="24" spans="2:16" ht="12.45" hidden="1" customHeight="1" outlineLevel="1" x14ac:dyDescent="0.35">
      <c r="B24" s="23">
        <f t="shared" si="9"/>
        <v>841</v>
      </c>
      <c r="C24" s="42" t="s">
        <v>21</v>
      </c>
      <c r="D24" s="23">
        <f t="shared" si="0"/>
        <v>855</v>
      </c>
      <c r="E24" s="23"/>
      <c r="F24" s="23"/>
      <c r="I24" s="49">
        <f t="shared" si="1"/>
        <v>0</v>
      </c>
      <c r="J24" s="50">
        <f t="shared" si="2"/>
        <v>0</v>
      </c>
      <c r="K24" s="49">
        <f t="shared" si="3"/>
        <v>0</v>
      </c>
      <c r="L24" s="50">
        <f t="shared" si="4"/>
        <v>0</v>
      </c>
      <c r="M24" s="51">
        <f t="shared" si="5"/>
        <v>0</v>
      </c>
      <c r="N24" s="49">
        <f t="shared" si="6"/>
        <v>0</v>
      </c>
      <c r="O24" s="50">
        <f t="shared" si="7"/>
        <v>0</v>
      </c>
      <c r="P24" s="50">
        <f t="shared" si="8"/>
        <v>0</v>
      </c>
    </row>
    <row r="25" spans="2:16" ht="12.45" hidden="1" customHeight="1" outlineLevel="1" x14ac:dyDescent="0.35">
      <c r="B25" s="23">
        <f t="shared" si="9"/>
        <v>856</v>
      </c>
      <c r="C25" s="42" t="s">
        <v>21</v>
      </c>
      <c r="D25" s="23">
        <f t="shared" si="0"/>
        <v>870</v>
      </c>
      <c r="E25" s="23"/>
      <c r="F25" s="23"/>
      <c r="I25" s="49">
        <f t="shared" si="1"/>
        <v>0</v>
      </c>
      <c r="J25" s="50">
        <f t="shared" si="2"/>
        <v>0</v>
      </c>
      <c r="K25" s="49">
        <f t="shared" si="3"/>
        <v>0</v>
      </c>
      <c r="L25" s="50">
        <f t="shared" si="4"/>
        <v>0</v>
      </c>
      <c r="M25" s="51">
        <f t="shared" si="5"/>
        <v>0</v>
      </c>
      <c r="N25" s="49">
        <f t="shared" si="6"/>
        <v>0</v>
      </c>
      <c r="O25" s="50">
        <f t="shared" si="7"/>
        <v>0</v>
      </c>
      <c r="P25" s="50">
        <f t="shared" si="8"/>
        <v>0</v>
      </c>
    </row>
    <row r="26" spans="2:16" ht="12.45" hidden="1" customHeight="1" outlineLevel="1" x14ac:dyDescent="0.35">
      <c r="B26" s="23">
        <f t="shared" si="9"/>
        <v>871</v>
      </c>
      <c r="C26" s="42" t="s">
        <v>21</v>
      </c>
      <c r="D26" s="23">
        <f t="shared" si="0"/>
        <v>885</v>
      </c>
      <c r="E26" s="23"/>
      <c r="F26" s="23"/>
      <c r="I26" s="49">
        <f t="shared" si="1"/>
        <v>0</v>
      </c>
      <c r="J26" s="50">
        <f t="shared" si="2"/>
        <v>0</v>
      </c>
      <c r="K26" s="49">
        <f t="shared" si="3"/>
        <v>0</v>
      </c>
      <c r="L26" s="50">
        <f t="shared" si="4"/>
        <v>0</v>
      </c>
      <c r="M26" s="51">
        <f t="shared" si="5"/>
        <v>0</v>
      </c>
      <c r="N26" s="49">
        <f t="shared" si="6"/>
        <v>0</v>
      </c>
      <c r="O26" s="50">
        <f t="shared" si="7"/>
        <v>0</v>
      </c>
      <c r="P26" s="50">
        <f t="shared" si="8"/>
        <v>0</v>
      </c>
    </row>
    <row r="27" spans="2:16" ht="12.45" hidden="1" customHeight="1" outlineLevel="1" x14ac:dyDescent="0.35">
      <c r="B27" s="23">
        <f t="shared" si="9"/>
        <v>886</v>
      </c>
      <c r="C27" s="42" t="s">
        <v>21</v>
      </c>
      <c r="D27" s="23">
        <f t="shared" si="0"/>
        <v>900</v>
      </c>
      <c r="E27" s="23"/>
      <c r="F27" s="23"/>
      <c r="I27" s="49">
        <f t="shared" si="1"/>
        <v>0</v>
      </c>
      <c r="J27" s="50">
        <f t="shared" si="2"/>
        <v>0</v>
      </c>
      <c r="K27" s="49">
        <f t="shared" si="3"/>
        <v>0</v>
      </c>
      <c r="L27" s="50">
        <f t="shared" si="4"/>
        <v>0</v>
      </c>
      <c r="M27" s="51">
        <f t="shared" si="5"/>
        <v>0</v>
      </c>
      <c r="N27" s="49">
        <f t="shared" si="6"/>
        <v>0</v>
      </c>
      <c r="O27" s="50">
        <f t="shared" si="7"/>
        <v>0</v>
      </c>
      <c r="P27" s="50">
        <f t="shared" si="8"/>
        <v>0</v>
      </c>
    </row>
    <row r="28" spans="2:16" ht="12.45" hidden="1" customHeight="1" outlineLevel="1" x14ac:dyDescent="0.35">
      <c r="B28" s="23">
        <f t="shared" si="9"/>
        <v>901</v>
      </c>
      <c r="C28" s="42" t="s">
        <v>21</v>
      </c>
      <c r="D28" s="23">
        <f t="shared" si="0"/>
        <v>915</v>
      </c>
      <c r="E28" s="23"/>
      <c r="F28" s="23"/>
      <c r="I28" s="49">
        <f t="shared" si="1"/>
        <v>0</v>
      </c>
      <c r="J28" s="50">
        <f t="shared" si="2"/>
        <v>0</v>
      </c>
      <c r="K28" s="49">
        <f t="shared" si="3"/>
        <v>0</v>
      </c>
      <c r="L28" s="50">
        <f t="shared" si="4"/>
        <v>0</v>
      </c>
      <c r="M28" s="51">
        <f t="shared" si="5"/>
        <v>0</v>
      </c>
      <c r="N28" s="49">
        <f t="shared" si="6"/>
        <v>0</v>
      </c>
      <c r="O28" s="50">
        <f t="shared" si="7"/>
        <v>0</v>
      </c>
      <c r="P28" s="50">
        <f t="shared" si="8"/>
        <v>0</v>
      </c>
    </row>
    <row r="29" spans="2:16" ht="12.45" hidden="1" customHeight="1" outlineLevel="1" x14ac:dyDescent="0.35">
      <c r="B29" s="23">
        <f t="shared" si="9"/>
        <v>916</v>
      </c>
      <c r="C29" s="42" t="s">
        <v>21</v>
      </c>
      <c r="D29" s="23">
        <f t="shared" si="0"/>
        <v>930</v>
      </c>
      <c r="E29" s="23"/>
      <c r="F29" s="23"/>
      <c r="I29" s="49">
        <f t="shared" si="1"/>
        <v>0</v>
      </c>
      <c r="J29" s="50">
        <f t="shared" si="2"/>
        <v>0</v>
      </c>
      <c r="K29" s="49">
        <f t="shared" si="3"/>
        <v>0</v>
      </c>
      <c r="L29" s="50">
        <f t="shared" si="4"/>
        <v>0</v>
      </c>
      <c r="M29" s="51">
        <f t="shared" si="5"/>
        <v>0</v>
      </c>
      <c r="N29" s="49">
        <f t="shared" si="6"/>
        <v>0</v>
      </c>
      <c r="O29" s="50">
        <f t="shared" si="7"/>
        <v>0</v>
      </c>
      <c r="P29" s="50">
        <f t="shared" si="8"/>
        <v>0</v>
      </c>
    </row>
    <row r="30" spans="2:16" ht="12.45" hidden="1" customHeight="1" outlineLevel="1" x14ac:dyDescent="0.35">
      <c r="B30" s="23">
        <f t="shared" si="9"/>
        <v>931</v>
      </c>
      <c r="C30" s="42" t="s">
        <v>21</v>
      </c>
      <c r="D30" s="23">
        <f t="shared" si="0"/>
        <v>945</v>
      </c>
      <c r="E30" s="23"/>
      <c r="F30" s="23"/>
      <c r="I30" s="49">
        <f t="shared" si="1"/>
        <v>0</v>
      </c>
      <c r="J30" s="50">
        <f t="shared" si="2"/>
        <v>0</v>
      </c>
      <c r="K30" s="49">
        <f t="shared" si="3"/>
        <v>0</v>
      </c>
      <c r="L30" s="50">
        <f t="shared" si="4"/>
        <v>0</v>
      </c>
      <c r="M30" s="51">
        <f t="shared" si="5"/>
        <v>0</v>
      </c>
      <c r="N30" s="49">
        <f t="shared" si="6"/>
        <v>0</v>
      </c>
      <c r="O30" s="50">
        <f t="shared" si="7"/>
        <v>0</v>
      </c>
      <c r="P30" s="50">
        <f t="shared" si="8"/>
        <v>0</v>
      </c>
    </row>
    <row r="31" spans="2:16" ht="12.45" hidden="1" customHeight="1" outlineLevel="1" x14ac:dyDescent="0.35">
      <c r="B31" s="23">
        <f t="shared" si="9"/>
        <v>946</v>
      </c>
      <c r="C31" s="42" t="s">
        <v>21</v>
      </c>
      <c r="D31" s="23">
        <f t="shared" si="0"/>
        <v>960</v>
      </c>
      <c r="E31" s="23"/>
      <c r="F31" s="23"/>
      <c r="I31" s="49">
        <f t="shared" si="1"/>
        <v>0</v>
      </c>
      <c r="J31" s="50">
        <f t="shared" si="2"/>
        <v>0</v>
      </c>
      <c r="K31" s="49">
        <f t="shared" si="3"/>
        <v>0</v>
      </c>
      <c r="L31" s="50">
        <f t="shared" si="4"/>
        <v>0</v>
      </c>
      <c r="M31" s="51">
        <f t="shared" si="5"/>
        <v>0</v>
      </c>
      <c r="N31" s="49">
        <f t="shared" si="6"/>
        <v>0</v>
      </c>
      <c r="O31" s="50">
        <f t="shared" si="7"/>
        <v>0</v>
      </c>
      <c r="P31" s="50">
        <f t="shared" si="8"/>
        <v>0</v>
      </c>
    </row>
    <row r="32" spans="2:16" ht="12.45" hidden="1" customHeight="1" outlineLevel="1" x14ac:dyDescent="0.35">
      <c r="B32" s="23">
        <f t="shared" si="9"/>
        <v>961</v>
      </c>
      <c r="C32" s="42" t="s">
        <v>21</v>
      </c>
      <c r="D32" s="23">
        <f t="shared" si="0"/>
        <v>975</v>
      </c>
      <c r="E32" s="23"/>
      <c r="F32" s="23"/>
      <c r="I32" s="49">
        <f t="shared" si="1"/>
        <v>0</v>
      </c>
      <c r="J32" s="50">
        <f t="shared" si="2"/>
        <v>0</v>
      </c>
      <c r="K32" s="49">
        <f t="shared" si="3"/>
        <v>0</v>
      </c>
      <c r="L32" s="50">
        <f t="shared" si="4"/>
        <v>0</v>
      </c>
      <c r="M32" s="51">
        <f t="shared" si="5"/>
        <v>0</v>
      </c>
      <c r="N32" s="49">
        <f t="shared" si="6"/>
        <v>0</v>
      </c>
      <c r="O32" s="50">
        <f t="shared" si="7"/>
        <v>0</v>
      </c>
      <c r="P32" s="50">
        <f t="shared" si="8"/>
        <v>0</v>
      </c>
    </row>
    <row r="33" spans="2:16" ht="12.45" hidden="1" customHeight="1" outlineLevel="1" x14ac:dyDescent="0.35">
      <c r="B33" s="23">
        <f t="shared" si="9"/>
        <v>976</v>
      </c>
      <c r="C33" s="42" t="s">
        <v>21</v>
      </c>
      <c r="D33" s="23">
        <f t="shared" si="0"/>
        <v>990</v>
      </c>
      <c r="E33" s="23"/>
      <c r="F33" s="23"/>
      <c r="I33" s="49">
        <f t="shared" si="1"/>
        <v>0</v>
      </c>
      <c r="J33" s="50">
        <f t="shared" si="2"/>
        <v>0</v>
      </c>
      <c r="K33" s="49">
        <f t="shared" si="3"/>
        <v>0</v>
      </c>
      <c r="L33" s="50">
        <f t="shared" si="4"/>
        <v>0</v>
      </c>
      <c r="M33" s="51">
        <f t="shared" si="5"/>
        <v>0</v>
      </c>
      <c r="N33" s="49">
        <f t="shared" si="6"/>
        <v>0</v>
      </c>
      <c r="O33" s="50">
        <f t="shared" si="7"/>
        <v>0</v>
      </c>
      <c r="P33" s="50">
        <f t="shared" si="8"/>
        <v>0</v>
      </c>
    </row>
    <row r="34" spans="2:16" ht="12.45" hidden="1" customHeight="1" outlineLevel="1" x14ac:dyDescent="0.35">
      <c r="B34" s="23">
        <f t="shared" si="9"/>
        <v>991</v>
      </c>
      <c r="C34" s="42" t="s">
        <v>21</v>
      </c>
      <c r="D34" s="23">
        <f t="shared" si="0"/>
        <v>1005</v>
      </c>
      <c r="E34" s="23"/>
      <c r="F34" s="23"/>
      <c r="I34" s="49">
        <f t="shared" si="1"/>
        <v>0</v>
      </c>
      <c r="J34" s="50">
        <f t="shared" si="2"/>
        <v>0</v>
      </c>
      <c r="K34" s="49">
        <f t="shared" si="3"/>
        <v>0</v>
      </c>
      <c r="L34" s="50">
        <f t="shared" si="4"/>
        <v>0</v>
      </c>
      <c r="M34" s="51">
        <f t="shared" si="5"/>
        <v>0</v>
      </c>
      <c r="N34" s="49">
        <f t="shared" si="6"/>
        <v>0</v>
      </c>
      <c r="O34" s="50">
        <f t="shared" si="7"/>
        <v>0</v>
      </c>
      <c r="P34" s="50">
        <f t="shared" si="8"/>
        <v>0</v>
      </c>
    </row>
    <row r="35" spans="2:16" ht="12.65" hidden="1" customHeight="1" outlineLevel="1" x14ac:dyDescent="0.35">
      <c r="B35" s="23">
        <f>D34+1</f>
        <v>1006</v>
      </c>
      <c r="C35" s="42" t="s">
        <v>21</v>
      </c>
      <c r="D35" s="23">
        <f t="shared" si="0"/>
        <v>1020</v>
      </c>
      <c r="E35" s="23"/>
      <c r="F35" s="23"/>
      <c r="I35" s="49">
        <f t="shared" si="1"/>
        <v>0</v>
      </c>
      <c r="J35" s="50">
        <f t="shared" si="2"/>
        <v>0</v>
      </c>
      <c r="K35" s="49">
        <f t="shared" si="3"/>
        <v>0</v>
      </c>
      <c r="L35" s="50">
        <f t="shared" si="4"/>
        <v>0</v>
      </c>
      <c r="M35" s="51">
        <f t="shared" si="5"/>
        <v>0</v>
      </c>
      <c r="N35" s="49">
        <f t="shared" si="6"/>
        <v>0</v>
      </c>
      <c r="O35" s="50">
        <f t="shared" si="7"/>
        <v>0</v>
      </c>
      <c r="P35" s="50">
        <f t="shared" si="8"/>
        <v>0</v>
      </c>
    </row>
    <row r="36" spans="2:16" ht="12.65" hidden="1" customHeight="1" outlineLevel="1" x14ac:dyDescent="0.35">
      <c r="B36" s="23">
        <f>D35+1</f>
        <v>1021</v>
      </c>
      <c r="C36" s="42" t="s">
        <v>21</v>
      </c>
      <c r="D36" s="23">
        <f t="shared" si="0"/>
        <v>1035</v>
      </c>
      <c r="E36" s="23"/>
      <c r="F36" s="23"/>
      <c r="I36" s="49">
        <f t="shared" si="1"/>
        <v>0</v>
      </c>
      <c r="J36" s="50">
        <f t="shared" si="2"/>
        <v>0</v>
      </c>
      <c r="K36" s="49">
        <f t="shared" si="3"/>
        <v>0</v>
      </c>
      <c r="L36" s="50">
        <f t="shared" si="4"/>
        <v>0</v>
      </c>
      <c r="M36" s="51">
        <f t="shared" si="5"/>
        <v>0</v>
      </c>
      <c r="N36" s="49">
        <f t="shared" si="6"/>
        <v>0</v>
      </c>
      <c r="O36" s="50">
        <f t="shared" si="7"/>
        <v>0</v>
      </c>
      <c r="P36" s="50">
        <f t="shared" si="8"/>
        <v>0</v>
      </c>
    </row>
    <row r="37" spans="2:16" ht="12.65" hidden="1" customHeight="1" outlineLevel="1" x14ac:dyDescent="0.35">
      <c r="B37" s="23">
        <f>D36+1</f>
        <v>1036</v>
      </c>
      <c r="C37" s="42" t="s">
        <v>21</v>
      </c>
      <c r="D37" s="23">
        <f t="shared" si="0"/>
        <v>1050</v>
      </c>
      <c r="E37" s="23"/>
      <c r="F37" s="23"/>
      <c r="I37" s="49">
        <f t="shared" si="1"/>
        <v>0</v>
      </c>
      <c r="J37" s="50">
        <f t="shared" si="2"/>
        <v>0</v>
      </c>
      <c r="K37" s="49">
        <f t="shared" si="3"/>
        <v>0</v>
      </c>
      <c r="L37" s="50">
        <f t="shared" si="4"/>
        <v>0</v>
      </c>
      <c r="M37" s="51">
        <f t="shared" si="5"/>
        <v>0</v>
      </c>
      <c r="N37" s="49">
        <f t="shared" si="6"/>
        <v>0</v>
      </c>
      <c r="O37" s="50">
        <f t="shared" si="7"/>
        <v>0</v>
      </c>
      <c r="P37" s="50">
        <f t="shared" si="8"/>
        <v>0</v>
      </c>
    </row>
    <row r="38" spans="2:16" ht="12.65" hidden="1" customHeight="1" outlineLevel="1" x14ac:dyDescent="0.35">
      <c r="B38" s="23">
        <f>D37+1</f>
        <v>1051</v>
      </c>
      <c r="C38" s="42" t="s">
        <v>21</v>
      </c>
      <c r="D38" s="23">
        <f t="shared" si="0"/>
        <v>1065</v>
      </c>
      <c r="E38" s="23"/>
      <c r="F38" s="23"/>
      <c r="I38" s="49">
        <f t="shared" si="1"/>
        <v>0</v>
      </c>
      <c r="J38" s="50">
        <f t="shared" si="2"/>
        <v>0</v>
      </c>
      <c r="K38" s="49">
        <f t="shared" si="3"/>
        <v>0</v>
      </c>
      <c r="L38" s="50">
        <f t="shared" si="4"/>
        <v>0</v>
      </c>
      <c r="M38" s="51">
        <f t="shared" si="5"/>
        <v>0</v>
      </c>
      <c r="N38" s="49">
        <f t="shared" si="6"/>
        <v>0</v>
      </c>
      <c r="O38" s="50">
        <f t="shared" si="7"/>
        <v>0</v>
      </c>
      <c r="P38" s="50">
        <f t="shared" si="8"/>
        <v>0</v>
      </c>
    </row>
    <row r="39" spans="2:16" ht="12.65" hidden="1" customHeight="1" outlineLevel="1" x14ac:dyDescent="0.35">
      <c r="B39" s="23">
        <f t="shared" ref="B39:B41" si="10">D38+1</f>
        <v>1066</v>
      </c>
      <c r="C39" s="42" t="s">
        <v>21</v>
      </c>
      <c r="D39" s="23">
        <f t="shared" ref="D39:D41" si="11">B39+$T$8</f>
        <v>1080</v>
      </c>
      <c r="E39" s="23"/>
      <c r="F39" s="23"/>
      <c r="I39" s="49">
        <f t="shared" ref="I39:I41" si="12">$U$1*($I$6*D39/100)/(100%-$I$7)</f>
        <v>0</v>
      </c>
      <c r="J39" s="50">
        <f t="shared" ref="J39:J41" si="13">$U$1*($J$6*D39/100)/(100%-$J$7)</f>
        <v>0</v>
      </c>
      <c r="K39" s="49">
        <f t="shared" ref="K39:K41" si="14">$U$1*($K$6*D39/100)/(100%-$K$7)</f>
        <v>0</v>
      </c>
      <c r="L39" s="50">
        <f t="shared" ref="L39:L41" si="15">$U$1*($L$6*D39/100)/(100%-$L$7)</f>
        <v>0</v>
      </c>
      <c r="M39" s="51">
        <f t="shared" ref="M39:M41" si="16">$U$1*($M$6*D39/100)/(100%-$M$7)</f>
        <v>0</v>
      </c>
      <c r="N39" s="49">
        <f t="shared" ref="N39:N41" si="17">$U$1*($N$6*D39/100)/(100%-$N$7)</f>
        <v>0</v>
      </c>
      <c r="O39" s="50">
        <f t="shared" ref="O39:O41" si="18">$U$1*($O$6*D39/100)/(100%-$O$7)</f>
        <v>0</v>
      </c>
      <c r="P39" s="50">
        <f t="shared" ref="P39:P41" si="19">$U$1*($P$6*D39/100)/(100%-$P$7)</f>
        <v>0</v>
      </c>
    </row>
    <row r="40" spans="2:16" ht="12.65" hidden="1" customHeight="1" outlineLevel="1" x14ac:dyDescent="0.35">
      <c r="B40" s="23">
        <f t="shared" si="10"/>
        <v>1081</v>
      </c>
      <c r="C40" s="42" t="s">
        <v>21</v>
      </c>
      <c r="D40" s="23">
        <f t="shared" si="11"/>
        <v>1095</v>
      </c>
      <c r="E40" s="23"/>
      <c r="F40" s="23"/>
      <c r="I40" s="49">
        <f t="shared" si="12"/>
        <v>0</v>
      </c>
      <c r="J40" s="50">
        <f t="shared" si="13"/>
        <v>0</v>
      </c>
      <c r="K40" s="49">
        <f t="shared" si="14"/>
        <v>0</v>
      </c>
      <c r="L40" s="50">
        <f t="shared" si="15"/>
        <v>0</v>
      </c>
      <c r="M40" s="51">
        <f t="shared" si="16"/>
        <v>0</v>
      </c>
      <c r="N40" s="49">
        <f t="shared" si="17"/>
        <v>0</v>
      </c>
      <c r="O40" s="50">
        <f t="shared" si="18"/>
        <v>0</v>
      </c>
      <c r="P40" s="50">
        <f t="shared" si="19"/>
        <v>0</v>
      </c>
    </row>
    <row r="41" spans="2:16" ht="12.65" hidden="1" customHeight="1" outlineLevel="1" x14ac:dyDescent="0.35">
      <c r="B41" s="23">
        <f t="shared" si="10"/>
        <v>1096</v>
      </c>
      <c r="C41" s="42" t="s">
        <v>21</v>
      </c>
      <c r="D41" s="23">
        <f t="shared" si="11"/>
        <v>1110</v>
      </c>
      <c r="E41" s="23"/>
      <c r="F41" s="23"/>
      <c r="I41" s="49">
        <f t="shared" si="12"/>
        <v>0</v>
      </c>
      <c r="J41" s="50">
        <f t="shared" si="13"/>
        <v>0</v>
      </c>
      <c r="K41" s="49">
        <f t="shared" si="14"/>
        <v>0</v>
      </c>
      <c r="L41" s="50">
        <f t="shared" si="15"/>
        <v>0</v>
      </c>
      <c r="M41" s="51">
        <f t="shared" si="16"/>
        <v>0</v>
      </c>
      <c r="N41" s="49">
        <f t="shared" si="17"/>
        <v>0</v>
      </c>
      <c r="O41" s="50">
        <f t="shared" si="18"/>
        <v>0</v>
      </c>
      <c r="P41" s="50">
        <f t="shared" si="19"/>
        <v>0</v>
      </c>
    </row>
    <row r="42" spans="2:16" hidden="1" outlineLevel="1" x14ac:dyDescent="0.35">
      <c r="B42" s="57"/>
    </row>
    <row r="43" spans="2:16" hidden="1" outlineLevel="1" x14ac:dyDescent="0.35">
      <c r="B43" s="57"/>
    </row>
    <row r="44" spans="2:16" hidden="1" outlineLevel="1" x14ac:dyDescent="0.35">
      <c r="B44" s="57"/>
    </row>
    <row r="45" spans="2:16" collapsed="1" x14ac:dyDescent="0.35">
      <c r="B45" s="57"/>
    </row>
    <row r="46" spans="2:16" x14ac:dyDescent="0.35">
      <c r="B46" s="57"/>
    </row>
    <row r="49" spans="2:21" x14ac:dyDescent="0.35">
      <c r="B49" s="17" t="s">
        <v>7</v>
      </c>
      <c r="N49" s="20" t="s">
        <v>4</v>
      </c>
      <c r="O49" s="20"/>
      <c r="P49" s="20"/>
    </row>
    <row r="50" spans="2:21" x14ac:dyDescent="0.35">
      <c r="L50" s="20"/>
    </row>
    <row r="51" spans="2:21" x14ac:dyDescent="0.35">
      <c r="F51" s="23"/>
      <c r="G51" s="23"/>
      <c r="H51" s="23"/>
      <c r="I51" s="26"/>
      <c r="K51" s="26" t="s">
        <v>27</v>
      </c>
      <c r="L51" s="58" t="s">
        <v>265</v>
      </c>
      <c r="M51" s="25" t="s">
        <v>266</v>
      </c>
      <c r="N51" s="25"/>
      <c r="O51" s="25" t="s">
        <v>267</v>
      </c>
      <c r="P51" s="25" t="s">
        <v>268</v>
      </c>
    </row>
    <row r="52" spans="2:21" s="45" customFormat="1" x14ac:dyDescent="0.35">
      <c r="B52" s="27" t="s">
        <v>0</v>
      </c>
      <c r="C52" s="28"/>
      <c r="D52" s="27"/>
      <c r="E52" s="27"/>
      <c r="F52" s="27"/>
      <c r="G52" s="27"/>
      <c r="H52" s="27"/>
      <c r="I52" s="27"/>
      <c r="L52" s="59"/>
      <c r="M52" s="36" t="s">
        <v>2</v>
      </c>
      <c r="N52" s="38" t="s">
        <v>36</v>
      </c>
      <c r="O52" s="36" t="s">
        <v>1</v>
      </c>
      <c r="P52" s="36" t="s">
        <v>3</v>
      </c>
      <c r="U52" s="19"/>
    </row>
    <row r="53" spans="2:21" s="45" customFormat="1" ht="11.6" x14ac:dyDescent="0.35">
      <c r="B53" s="27" t="s">
        <v>5</v>
      </c>
      <c r="C53" s="28"/>
      <c r="D53" s="27"/>
      <c r="E53" s="27"/>
      <c r="F53" s="27"/>
      <c r="G53" s="27"/>
      <c r="H53" s="27"/>
      <c r="I53" s="27"/>
      <c r="L53" s="59"/>
      <c r="M53" s="36">
        <v>0.6</v>
      </c>
      <c r="N53" s="38">
        <v>0.6</v>
      </c>
      <c r="O53" s="36">
        <v>0.6</v>
      </c>
      <c r="P53" s="36">
        <v>0.7</v>
      </c>
    </row>
    <row r="54" spans="2:21" s="45" customFormat="1" ht="11.6" x14ac:dyDescent="0.35">
      <c r="B54" s="27"/>
      <c r="C54" s="28"/>
      <c r="D54" s="27"/>
      <c r="E54" s="27"/>
      <c r="F54" s="27"/>
      <c r="G54" s="27"/>
      <c r="H54" s="27"/>
      <c r="I54" s="27"/>
      <c r="L54" s="60"/>
      <c r="M54" s="40">
        <f>(10.8/2)*0.2</f>
        <v>1.08</v>
      </c>
      <c r="N54" s="40">
        <f>(10.8/2)*0.28</f>
        <v>1.5120000000000002</v>
      </c>
      <c r="O54" s="40">
        <f>(10.8/2)*0.33</f>
        <v>1.7820000000000003</v>
      </c>
      <c r="P54" s="40">
        <f>(12.6/2)*0.4</f>
        <v>2.52</v>
      </c>
    </row>
    <row r="55" spans="2:21" s="45" customFormat="1" ht="11.6" x14ac:dyDescent="0.35">
      <c r="B55" s="26" t="s">
        <v>28</v>
      </c>
      <c r="C55" s="42"/>
      <c r="D55" s="26"/>
      <c r="L55" s="61"/>
      <c r="M55" s="46">
        <v>0.62</v>
      </c>
      <c r="N55" s="46">
        <v>0.59</v>
      </c>
      <c r="O55" s="47">
        <v>0.47</v>
      </c>
      <c r="P55" s="46">
        <v>0.52</v>
      </c>
      <c r="Q55" s="52"/>
      <c r="R55" s="62"/>
      <c r="S55" s="176" t="s">
        <v>22</v>
      </c>
      <c r="T55" s="53">
        <f>T1</f>
        <v>14</v>
      </c>
    </row>
    <row r="56" spans="2:21" s="45" customFormat="1" ht="12.45" hidden="1" customHeight="1" outlineLevel="1" x14ac:dyDescent="0.35">
      <c r="B56" s="63">
        <v>601</v>
      </c>
      <c r="C56" s="64" t="s">
        <v>21</v>
      </c>
      <c r="D56" s="63">
        <f>B56+$T55</f>
        <v>615</v>
      </c>
      <c r="L56" s="65"/>
      <c r="M56" s="50">
        <f t="shared" ref="M56:M82" si="20">$U$1*($M$54*D56/100)/(100%-$M$55)</f>
        <v>0</v>
      </c>
      <c r="N56" s="49">
        <f t="shared" ref="N56:N82" si="21">$U$1*($N$54*D56/100)/(100%-$N$55)</f>
        <v>0</v>
      </c>
      <c r="O56" s="50">
        <f t="shared" ref="O56:O82" si="22">$U$1*($O$54*D56/100)/(100%-$O$55)</f>
        <v>0</v>
      </c>
      <c r="P56" s="50">
        <f t="shared" ref="P56:P82" si="23">$U$1*($P$54*D56/100)/(100%-$P$55)</f>
        <v>0</v>
      </c>
    </row>
    <row r="57" spans="2:21" s="45" customFormat="1" ht="12.45" hidden="1" customHeight="1" outlineLevel="1" x14ac:dyDescent="0.35">
      <c r="B57" s="63">
        <f t="shared" ref="B57:B82" si="24">D56+1</f>
        <v>616</v>
      </c>
      <c r="C57" s="64" t="s">
        <v>21</v>
      </c>
      <c r="D57" s="63">
        <f t="shared" ref="D57:D82" si="25">B57+$T$55</f>
        <v>630</v>
      </c>
      <c r="L57" s="65"/>
      <c r="M57" s="50">
        <f t="shared" si="20"/>
        <v>0</v>
      </c>
      <c r="N57" s="49">
        <f t="shared" si="21"/>
        <v>0</v>
      </c>
      <c r="O57" s="50">
        <f t="shared" si="22"/>
        <v>0</v>
      </c>
      <c r="P57" s="50">
        <f t="shared" si="23"/>
        <v>0</v>
      </c>
    </row>
    <row r="58" spans="2:21" s="45" customFormat="1" ht="12.45" hidden="1" customHeight="1" outlineLevel="1" x14ac:dyDescent="0.35">
      <c r="B58" s="63">
        <f t="shared" si="24"/>
        <v>631</v>
      </c>
      <c r="C58" s="64" t="s">
        <v>21</v>
      </c>
      <c r="D58" s="63">
        <f t="shared" si="25"/>
        <v>645</v>
      </c>
      <c r="L58" s="65"/>
      <c r="M58" s="50">
        <f t="shared" si="20"/>
        <v>0</v>
      </c>
      <c r="N58" s="49">
        <f t="shared" si="21"/>
        <v>0</v>
      </c>
      <c r="O58" s="50">
        <f t="shared" si="22"/>
        <v>0</v>
      </c>
      <c r="P58" s="50">
        <f t="shared" si="23"/>
        <v>0</v>
      </c>
    </row>
    <row r="59" spans="2:21" s="45" customFormat="1" ht="12.45" hidden="1" customHeight="1" outlineLevel="1" x14ac:dyDescent="0.35">
      <c r="B59" s="63">
        <f t="shared" si="24"/>
        <v>646</v>
      </c>
      <c r="C59" s="64" t="s">
        <v>21</v>
      </c>
      <c r="D59" s="63">
        <f t="shared" si="25"/>
        <v>660</v>
      </c>
      <c r="L59" s="65"/>
      <c r="M59" s="50">
        <f t="shared" si="20"/>
        <v>0</v>
      </c>
      <c r="N59" s="49">
        <f t="shared" si="21"/>
        <v>0</v>
      </c>
      <c r="O59" s="50">
        <f t="shared" si="22"/>
        <v>0</v>
      </c>
      <c r="P59" s="50">
        <f t="shared" si="23"/>
        <v>0</v>
      </c>
    </row>
    <row r="60" spans="2:21" s="45" customFormat="1" ht="12.45" hidden="1" customHeight="1" outlineLevel="1" x14ac:dyDescent="0.35">
      <c r="B60" s="63">
        <f t="shared" si="24"/>
        <v>661</v>
      </c>
      <c r="C60" s="64" t="s">
        <v>21</v>
      </c>
      <c r="D60" s="63">
        <f t="shared" si="25"/>
        <v>675</v>
      </c>
      <c r="L60" s="65"/>
      <c r="M60" s="50">
        <f t="shared" si="20"/>
        <v>0</v>
      </c>
      <c r="N60" s="49">
        <f t="shared" si="21"/>
        <v>0</v>
      </c>
      <c r="O60" s="50">
        <f t="shared" si="22"/>
        <v>0</v>
      </c>
      <c r="P60" s="50">
        <f t="shared" si="23"/>
        <v>0</v>
      </c>
    </row>
    <row r="61" spans="2:21" s="45" customFormat="1" ht="12.45" hidden="1" customHeight="1" outlineLevel="1" x14ac:dyDescent="0.35">
      <c r="B61" s="63">
        <f t="shared" si="24"/>
        <v>676</v>
      </c>
      <c r="C61" s="64" t="s">
        <v>21</v>
      </c>
      <c r="D61" s="63">
        <f t="shared" si="25"/>
        <v>690</v>
      </c>
      <c r="L61" s="65"/>
      <c r="M61" s="50">
        <f t="shared" si="20"/>
        <v>0</v>
      </c>
      <c r="N61" s="49">
        <f t="shared" si="21"/>
        <v>0</v>
      </c>
      <c r="O61" s="50">
        <f t="shared" si="22"/>
        <v>0</v>
      </c>
      <c r="P61" s="50">
        <f t="shared" si="23"/>
        <v>0</v>
      </c>
    </row>
    <row r="62" spans="2:21" s="45" customFormat="1" ht="12.45" hidden="1" customHeight="1" outlineLevel="1" x14ac:dyDescent="0.35">
      <c r="B62" s="63">
        <f t="shared" si="24"/>
        <v>691</v>
      </c>
      <c r="C62" s="64" t="s">
        <v>21</v>
      </c>
      <c r="D62" s="63">
        <f t="shared" si="25"/>
        <v>705</v>
      </c>
      <c r="L62" s="65"/>
      <c r="M62" s="50">
        <f t="shared" si="20"/>
        <v>0</v>
      </c>
      <c r="N62" s="49">
        <f t="shared" si="21"/>
        <v>0</v>
      </c>
      <c r="O62" s="50">
        <f t="shared" si="22"/>
        <v>0</v>
      </c>
      <c r="P62" s="50">
        <f t="shared" si="23"/>
        <v>0</v>
      </c>
    </row>
    <row r="63" spans="2:21" ht="12.45" hidden="1" customHeight="1" outlineLevel="1" x14ac:dyDescent="0.35">
      <c r="B63" s="63">
        <f t="shared" si="24"/>
        <v>706</v>
      </c>
      <c r="C63" s="64" t="s">
        <v>21</v>
      </c>
      <c r="D63" s="63">
        <f t="shared" si="25"/>
        <v>720</v>
      </c>
      <c r="L63" s="65"/>
      <c r="M63" s="50">
        <f t="shared" si="20"/>
        <v>0</v>
      </c>
      <c r="N63" s="49">
        <f t="shared" si="21"/>
        <v>0</v>
      </c>
      <c r="O63" s="50">
        <f t="shared" si="22"/>
        <v>0</v>
      </c>
      <c r="P63" s="50">
        <f t="shared" si="23"/>
        <v>0</v>
      </c>
      <c r="U63" s="45"/>
    </row>
    <row r="64" spans="2:21" ht="12.45" hidden="1" customHeight="1" outlineLevel="1" x14ac:dyDescent="0.35">
      <c r="B64" s="63">
        <f t="shared" si="24"/>
        <v>721</v>
      </c>
      <c r="C64" s="64" t="s">
        <v>21</v>
      </c>
      <c r="D64" s="63">
        <f t="shared" si="25"/>
        <v>735</v>
      </c>
      <c r="L64" s="65"/>
      <c r="M64" s="50">
        <f t="shared" si="20"/>
        <v>0</v>
      </c>
      <c r="N64" s="49">
        <f t="shared" si="21"/>
        <v>0</v>
      </c>
      <c r="O64" s="50">
        <f t="shared" si="22"/>
        <v>0</v>
      </c>
      <c r="P64" s="50">
        <f t="shared" si="23"/>
        <v>0</v>
      </c>
    </row>
    <row r="65" spans="2:16" ht="12.45" hidden="1" customHeight="1" outlineLevel="1" x14ac:dyDescent="0.35">
      <c r="B65" s="63">
        <f t="shared" si="24"/>
        <v>736</v>
      </c>
      <c r="C65" s="64" t="s">
        <v>21</v>
      </c>
      <c r="D65" s="63">
        <f t="shared" si="25"/>
        <v>750</v>
      </c>
      <c r="L65" s="65"/>
      <c r="M65" s="50">
        <f t="shared" si="20"/>
        <v>0</v>
      </c>
      <c r="N65" s="49">
        <f t="shared" si="21"/>
        <v>0</v>
      </c>
      <c r="O65" s="50">
        <f t="shared" si="22"/>
        <v>0</v>
      </c>
      <c r="P65" s="50">
        <f t="shared" si="23"/>
        <v>0</v>
      </c>
    </row>
    <row r="66" spans="2:16" ht="12.45" hidden="1" customHeight="1" outlineLevel="1" x14ac:dyDescent="0.35">
      <c r="B66" s="63">
        <f t="shared" si="24"/>
        <v>751</v>
      </c>
      <c r="C66" s="64" t="s">
        <v>21</v>
      </c>
      <c r="D66" s="63">
        <f t="shared" si="25"/>
        <v>765</v>
      </c>
      <c r="L66" s="65"/>
      <c r="M66" s="50">
        <f t="shared" si="20"/>
        <v>0</v>
      </c>
      <c r="N66" s="49">
        <f t="shared" si="21"/>
        <v>0</v>
      </c>
      <c r="O66" s="50">
        <f t="shared" si="22"/>
        <v>0</v>
      </c>
      <c r="P66" s="50">
        <f t="shared" si="23"/>
        <v>0</v>
      </c>
    </row>
    <row r="67" spans="2:16" ht="12.45" hidden="1" customHeight="1" outlineLevel="1" x14ac:dyDescent="0.35">
      <c r="B67" s="63">
        <f t="shared" si="24"/>
        <v>766</v>
      </c>
      <c r="C67" s="64" t="s">
        <v>21</v>
      </c>
      <c r="D67" s="63">
        <f t="shared" si="25"/>
        <v>780</v>
      </c>
      <c r="L67" s="65"/>
      <c r="M67" s="50">
        <f t="shared" si="20"/>
        <v>0</v>
      </c>
      <c r="N67" s="49">
        <f t="shared" si="21"/>
        <v>0</v>
      </c>
      <c r="O67" s="50">
        <f t="shared" si="22"/>
        <v>0</v>
      </c>
      <c r="P67" s="50">
        <f t="shared" si="23"/>
        <v>0</v>
      </c>
    </row>
    <row r="68" spans="2:16" ht="12.45" hidden="1" customHeight="1" outlineLevel="1" x14ac:dyDescent="0.35">
      <c r="B68" s="63">
        <f t="shared" si="24"/>
        <v>781</v>
      </c>
      <c r="C68" s="64" t="s">
        <v>21</v>
      </c>
      <c r="D68" s="63">
        <f t="shared" si="25"/>
        <v>795</v>
      </c>
      <c r="L68" s="65"/>
      <c r="M68" s="50">
        <f t="shared" si="20"/>
        <v>0</v>
      </c>
      <c r="N68" s="49">
        <f t="shared" si="21"/>
        <v>0</v>
      </c>
      <c r="O68" s="50">
        <f t="shared" si="22"/>
        <v>0</v>
      </c>
      <c r="P68" s="50">
        <f t="shared" si="23"/>
        <v>0</v>
      </c>
    </row>
    <row r="69" spans="2:16" ht="12.45" hidden="1" customHeight="1" outlineLevel="1" x14ac:dyDescent="0.35">
      <c r="B69" s="63">
        <f t="shared" si="24"/>
        <v>796</v>
      </c>
      <c r="C69" s="64" t="s">
        <v>21</v>
      </c>
      <c r="D69" s="63">
        <f t="shared" si="25"/>
        <v>810</v>
      </c>
      <c r="L69" s="65"/>
      <c r="M69" s="50">
        <f t="shared" si="20"/>
        <v>0</v>
      </c>
      <c r="N69" s="49">
        <f t="shared" si="21"/>
        <v>0</v>
      </c>
      <c r="O69" s="50">
        <f t="shared" si="22"/>
        <v>0</v>
      </c>
      <c r="P69" s="50">
        <f t="shared" si="23"/>
        <v>0</v>
      </c>
    </row>
    <row r="70" spans="2:16" ht="12.45" hidden="1" customHeight="1" outlineLevel="1" x14ac:dyDescent="0.35">
      <c r="B70" s="63">
        <f t="shared" si="24"/>
        <v>811</v>
      </c>
      <c r="C70" s="64" t="s">
        <v>21</v>
      </c>
      <c r="D70" s="63">
        <f t="shared" si="25"/>
        <v>825</v>
      </c>
      <c r="L70" s="65"/>
      <c r="M70" s="50">
        <f t="shared" si="20"/>
        <v>0</v>
      </c>
      <c r="N70" s="49">
        <f t="shared" si="21"/>
        <v>0</v>
      </c>
      <c r="O70" s="50">
        <f t="shared" si="22"/>
        <v>0</v>
      </c>
      <c r="P70" s="50">
        <f t="shared" si="23"/>
        <v>0</v>
      </c>
    </row>
    <row r="71" spans="2:16" ht="12.45" hidden="1" customHeight="1" outlineLevel="1" x14ac:dyDescent="0.35">
      <c r="B71" s="63">
        <f t="shared" si="24"/>
        <v>826</v>
      </c>
      <c r="C71" s="64" t="s">
        <v>21</v>
      </c>
      <c r="D71" s="63">
        <f t="shared" si="25"/>
        <v>840</v>
      </c>
      <c r="L71" s="65"/>
      <c r="M71" s="50">
        <f t="shared" si="20"/>
        <v>0</v>
      </c>
      <c r="N71" s="49">
        <f t="shared" si="21"/>
        <v>0</v>
      </c>
      <c r="O71" s="50">
        <f t="shared" si="22"/>
        <v>0</v>
      </c>
      <c r="P71" s="50">
        <f t="shared" si="23"/>
        <v>0</v>
      </c>
    </row>
    <row r="72" spans="2:16" ht="12.45" hidden="1" customHeight="1" outlineLevel="1" x14ac:dyDescent="0.35">
      <c r="B72" s="63">
        <f t="shared" si="24"/>
        <v>841</v>
      </c>
      <c r="C72" s="64" t="s">
        <v>21</v>
      </c>
      <c r="D72" s="63">
        <f t="shared" si="25"/>
        <v>855</v>
      </c>
      <c r="L72" s="65"/>
      <c r="M72" s="50">
        <f t="shared" si="20"/>
        <v>0</v>
      </c>
      <c r="N72" s="49">
        <f t="shared" si="21"/>
        <v>0</v>
      </c>
      <c r="O72" s="50">
        <f t="shared" si="22"/>
        <v>0</v>
      </c>
      <c r="P72" s="50">
        <f t="shared" si="23"/>
        <v>0</v>
      </c>
    </row>
    <row r="73" spans="2:16" ht="12.45" hidden="1" customHeight="1" outlineLevel="1" x14ac:dyDescent="0.35">
      <c r="B73" s="63">
        <f t="shared" si="24"/>
        <v>856</v>
      </c>
      <c r="C73" s="64" t="s">
        <v>21</v>
      </c>
      <c r="D73" s="63">
        <f t="shared" si="25"/>
        <v>870</v>
      </c>
      <c r="L73" s="65"/>
      <c r="M73" s="50">
        <f t="shared" si="20"/>
        <v>0</v>
      </c>
      <c r="N73" s="49">
        <f t="shared" si="21"/>
        <v>0</v>
      </c>
      <c r="O73" s="50">
        <f t="shared" si="22"/>
        <v>0</v>
      </c>
      <c r="P73" s="50">
        <f t="shared" si="23"/>
        <v>0</v>
      </c>
    </row>
    <row r="74" spans="2:16" ht="12.45" hidden="1" customHeight="1" outlineLevel="1" x14ac:dyDescent="0.35">
      <c r="B74" s="63">
        <f t="shared" si="24"/>
        <v>871</v>
      </c>
      <c r="C74" s="64" t="s">
        <v>21</v>
      </c>
      <c r="D74" s="63">
        <f t="shared" si="25"/>
        <v>885</v>
      </c>
      <c r="L74" s="65"/>
      <c r="M74" s="50">
        <f t="shared" si="20"/>
        <v>0</v>
      </c>
      <c r="N74" s="49">
        <f t="shared" si="21"/>
        <v>0</v>
      </c>
      <c r="O74" s="50">
        <f t="shared" si="22"/>
        <v>0</v>
      </c>
      <c r="P74" s="50">
        <f t="shared" si="23"/>
        <v>0</v>
      </c>
    </row>
    <row r="75" spans="2:16" ht="12.45" hidden="1" customHeight="1" outlineLevel="1" x14ac:dyDescent="0.35">
      <c r="B75" s="63">
        <f t="shared" si="24"/>
        <v>886</v>
      </c>
      <c r="C75" s="64" t="s">
        <v>21</v>
      </c>
      <c r="D75" s="63">
        <f t="shared" si="25"/>
        <v>900</v>
      </c>
      <c r="L75" s="65"/>
      <c r="M75" s="50">
        <f t="shared" si="20"/>
        <v>0</v>
      </c>
      <c r="N75" s="49">
        <f t="shared" si="21"/>
        <v>0</v>
      </c>
      <c r="O75" s="50">
        <f t="shared" si="22"/>
        <v>0</v>
      </c>
      <c r="P75" s="50">
        <f t="shared" si="23"/>
        <v>0</v>
      </c>
    </row>
    <row r="76" spans="2:16" ht="12.45" hidden="1" customHeight="1" outlineLevel="1" x14ac:dyDescent="0.35">
      <c r="B76" s="63">
        <f t="shared" si="24"/>
        <v>901</v>
      </c>
      <c r="C76" s="64" t="s">
        <v>21</v>
      </c>
      <c r="D76" s="63">
        <f t="shared" si="25"/>
        <v>915</v>
      </c>
      <c r="L76" s="65"/>
      <c r="M76" s="50">
        <f t="shared" si="20"/>
        <v>0</v>
      </c>
      <c r="N76" s="49">
        <f t="shared" si="21"/>
        <v>0</v>
      </c>
      <c r="O76" s="50">
        <f t="shared" si="22"/>
        <v>0</v>
      </c>
      <c r="P76" s="50">
        <f t="shared" si="23"/>
        <v>0</v>
      </c>
    </row>
    <row r="77" spans="2:16" ht="12.45" hidden="1" customHeight="1" outlineLevel="1" x14ac:dyDescent="0.35">
      <c r="B77" s="63">
        <f t="shared" si="24"/>
        <v>916</v>
      </c>
      <c r="C77" s="64" t="s">
        <v>21</v>
      </c>
      <c r="D77" s="63">
        <f t="shared" si="25"/>
        <v>930</v>
      </c>
      <c r="L77" s="65"/>
      <c r="M77" s="50">
        <f t="shared" si="20"/>
        <v>0</v>
      </c>
      <c r="N77" s="49">
        <f t="shared" si="21"/>
        <v>0</v>
      </c>
      <c r="O77" s="50">
        <f t="shared" si="22"/>
        <v>0</v>
      </c>
      <c r="P77" s="50">
        <f t="shared" si="23"/>
        <v>0</v>
      </c>
    </row>
    <row r="78" spans="2:16" ht="12.45" hidden="1" customHeight="1" outlineLevel="1" x14ac:dyDescent="0.35">
      <c r="B78" s="63">
        <f t="shared" si="24"/>
        <v>931</v>
      </c>
      <c r="C78" s="64" t="s">
        <v>21</v>
      </c>
      <c r="D78" s="63">
        <f t="shared" si="25"/>
        <v>945</v>
      </c>
      <c r="L78" s="65"/>
      <c r="M78" s="50">
        <f t="shared" si="20"/>
        <v>0</v>
      </c>
      <c r="N78" s="49">
        <f t="shared" si="21"/>
        <v>0</v>
      </c>
      <c r="O78" s="50">
        <f t="shared" si="22"/>
        <v>0</v>
      </c>
      <c r="P78" s="50">
        <f t="shared" si="23"/>
        <v>0</v>
      </c>
    </row>
    <row r="79" spans="2:16" ht="12.45" hidden="1" customHeight="1" outlineLevel="1" x14ac:dyDescent="0.35">
      <c r="B79" s="63">
        <f t="shared" si="24"/>
        <v>946</v>
      </c>
      <c r="C79" s="64" t="s">
        <v>21</v>
      </c>
      <c r="D79" s="63">
        <f t="shared" si="25"/>
        <v>960</v>
      </c>
      <c r="L79" s="65"/>
      <c r="M79" s="50">
        <f t="shared" si="20"/>
        <v>0</v>
      </c>
      <c r="N79" s="49">
        <f t="shared" si="21"/>
        <v>0</v>
      </c>
      <c r="O79" s="50">
        <f t="shared" si="22"/>
        <v>0</v>
      </c>
      <c r="P79" s="50">
        <f t="shared" si="23"/>
        <v>0</v>
      </c>
    </row>
    <row r="80" spans="2:16" ht="12.45" hidden="1" customHeight="1" outlineLevel="1" x14ac:dyDescent="0.35">
      <c r="B80" s="63">
        <f t="shared" si="24"/>
        <v>961</v>
      </c>
      <c r="C80" s="64" t="s">
        <v>21</v>
      </c>
      <c r="D80" s="63">
        <f t="shared" si="25"/>
        <v>975</v>
      </c>
      <c r="L80" s="65"/>
      <c r="M80" s="50">
        <f t="shared" si="20"/>
        <v>0</v>
      </c>
      <c r="N80" s="49">
        <f t="shared" si="21"/>
        <v>0</v>
      </c>
      <c r="O80" s="50">
        <f t="shared" si="22"/>
        <v>0</v>
      </c>
      <c r="P80" s="50">
        <f t="shared" si="23"/>
        <v>0</v>
      </c>
    </row>
    <row r="81" spans="2:21" ht="12.45" hidden="1" customHeight="1" outlineLevel="1" x14ac:dyDescent="0.35">
      <c r="B81" s="63">
        <f t="shared" si="24"/>
        <v>976</v>
      </c>
      <c r="C81" s="64" t="s">
        <v>21</v>
      </c>
      <c r="D81" s="63">
        <f t="shared" si="25"/>
        <v>990</v>
      </c>
      <c r="L81" s="65"/>
      <c r="M81" s="50">
        <f t="shared" si="20"/>
        <v>0</v>
      </c>
      <c r="N81" s="49">
        <f t="shared" si="21"/>
        <v>0</v>
      </c>
      <c r="O81" s="50">
        <f t="shared" si="22"/>
        <v>0</v>
      </c>
      <c r="P81" s="50">
        <f t="shared" si="23"/>
        <v>0</v>
      </c>
    </row>
    <row r="82" spans="2:21" ht="12.65" hidden="1" customHeight="1" outlineLevel="1" x14ac:dyDescent="0.35">
      <c r="B82" s="63">
        <f t="shared" si="24"/>
        <v>991</v>
      </c>
      <c r="C82" s="64" t="s">
        <v>21</v>
      </c>
      <c r="D82" s="63">
        <f t="shared" si="25"/>
        <v>1005</v>
      </c>
      <c r="L82" s="65"/>
      <c r="M82" s="50">
        <f t="shared" si="20"/>
        <v>0</v>
      </c>
      <c r="N82" s="49">
        <f t="shared" si="21"/>
        <v>0</v>
      </c>
      <c r="O82" s="50">
        <f t="shared" si="22"/>
        <v>0</v>
      </c>
      <c r="P82" s="50">
        <f t="shared" si="23"/>
        <v>0</v>
      </c>
    </row>
    <row r="83" spans="2:21" ht="12.65" hidden="1" customHeight="1" outlineLevel="1" x14ac:dyDescent="0.35">
      <c r="B83" s="63">
        <f>D82+1</f>
        <v>1006</v>
      </c>
      <c r="C83" s="64" t="s">
        <v>21</v>
      </c>
      <c r="D83" s="63">
        <f>B83+$T$55</f>
        <v>1020</v>
      </c>
      <c r="L83" s="65"/>
      <c r="M83" s="50">
        <f>$U$1*($M$54*D83/100)/(100%-$M$55)</f>
        <v>0</v>
      </c>
      <c r="N83" s="49">
        <f>$U$1*($N$54*D83/100)/(100%-$N$55)</f>
        <v>0</v>
      </c>
      <c r="O83" s="50">
        <f>$U$1*($O$54*D83/100)/(100%-$O$55)</f>
        <v>0</v>
      </c>
      <c r="P83" s="50">
        <f>$U$1*($P$54*D83/100)/(100%-$P$55)</f>
        <v>0</v>
      </c>
    </row>
    <row r="84" spans="2:21" ht="12.65" hidden="1" customHeight="1" outlineLevel="1" x14ac:dyDescent="0.35">
      <c r="B84" s="63">
        <f>D83+1</f>
        <v>1021</v>
      </c>
      <c r="C84" s="64" t="s">
        <v>21</v>
      </c>
      <c r="D84" s="63">
        <f>B84+$T$55</f>
        <v>1035</v>
      </c>
      <c r="L84" s="65"/>
      <c r="M84" s="50">
        <f>$U$1*($M$54*D84/100)/(100%-$M$55)</f>
        <v>0</v>
      </c>
      <c r="N84" s="49">
        <f>$U$1*($N$54*D84/100)/(100%-$N$55)</f>
        <v>0</v>
      </c>
      <c r="O84" s="50">
        <f>$U$1*($O$54*D84/100)/(100%-$O$55)</f>
        <v>0</v>
      </c>
      <c r="P84" s="50">
        <f>$U$1*($P$54*D84/100)/(100%-$P$55)</f>
        <v>0</v>
      </c>
    </row>
    <row r="85" spans="2:21" ht="12.65" hidden="1" customHeight="1" outlineLevel="1" x14ac:dyDescent="0.35">
      <c r="B85" s="63">
        <f>D84+1</f>
        <v>1036</v>
      </c>
      <c r="C85" s="64" t="s">
        <v>21</v>
      </c>
      <c r="D85" s="63">
        <f>B85+$T$55</f>
        <v>1050</v>
      </c>
      <c r="L85" s="65"/>
      <c r="M85" s="50">
        <f>$U$1*($M$54*D85/100)/(100%-$M$55)</f>
        <v>0</v>
      </c>
      <c r="N85" s="49">
        <f>$U$1*($N$54*D85/100)/(100%-$N$55)</f>
        <v>0</v>
      </c>
      <c r="O85" s="50">
        <f>$U$1*($O$54*D85/100)/(100%-$O$55)</f>
        <v>0</v>
      </c>
      <c r="P85" s="50">
        <f>$U$1*($P$54*D85/100)/(100%-$P$55)</f>
        <v>0</v>
      </c>
    </row>
    <row r="86" spans="2:21" ht="12.65" hidden="1" customHeight="1" outlineLevel="1" x14ac:dyDescent="0.35">
      <c r="B86" s="63">
        <f>D85+1</f>
        <v>1051</v>
      </c>
      <c r="C86" s="64" t="s">
        <v>21</v>
      </c>
      <c r="D86" s="63">
        <f>B86+$T$55</f>
        <v>1065</v>
      </c>
      <c r="L86" s="65"/>
      <c r="M86" s="50">
        <f>$U$1*($M$54*D86/100)/(100%-$M$55)</f>
        <v>0</v>
      </c>
      <c r="N86" s="49">
        <f>$U$1*($N$54*D86/100)/(100%-$N$55)</f>
        <v>0</v>
      </c>
      <c r="O86" s="50">
        <f>$U$1*($O$54*D86/100)/(100%-$O$55)</f>
        <v>0</v>
      </c>
      <c r="P86" s="50">
        <f>$U$1*($P$54*D86/100)/(100%-$P$55)</f>
        <v>0</v>
      </c>
    </row>
    <row r="87" spans="2:21" ht="12.65" hidden="1" customHeight="1" outlineLevel="1" x14ac:dyDescent="0.35">
      <c r="B87" s="63">
        <f t="shared" ref="B87:B89" si="26">D86+1</f>
        <v>1066</v>
      </c>
      <c r="C87" s="64" t="s">
        <v>21</v>
      </c>
      <c r="D87" s="63">
        <f t="shared" ref="D87:D89" si="27">B87+$T$55</f>
        <v>1080</v>
      </c>
      <c r="L87" s="65"/>
      <c r="M87" s="50">
        <f t="shared" ref="M87:M89" si="28">$U$1*($M$54*D87/100)/(100%-$M$55)</f>
        <v>0</v>
      </c>
      <c r="N87" s="49">
        <f t="shared" ref="N87:N89" si="29">$U$1*($N$54*D87/100)/(100%-$N$55)</f>
        <v>0</v>
      </c>
      <c r="O87" s="50">
        <f t="shared" ref="O87:O89" si="30">$U$1*($O$54*D87/100)/(100%-$O$55)</f>
        <v>0</v>
      </c>
      <c r="P87" s="50">
        <f t="shared" ref="P87:P89" si="31">$U$1*($P$54*D87/100)/(100%-$P$55)</f>
        <v>0</v>
      </c>
    </row>
    <row r="88" spans="2:21" ht="12.65" hidden="1" customHeight="1" outlineLevel="1" x14ac:dyDescent="0.35">
      <c r="B88" s="63">
        <f t="shared" si="26"/>
        <v>1081</v>
      </c>
      <c r="C88" s="64" t="s">
        <v>21</v>
      </c>
      <c r="D88" s="63">
        <f t="shared" si="27"/>
        <v>1095</v>
      </c>
      <c r="L88" s="65"/>
      <c r="M88" s="50">
        <f t="shared" si="28"/>
        <v>0</v>
      </c>
      <c r="N88" s="49">
        <f t="shared" si="29"/>
        <v>0</v>
      </c>
      <c r="O88" s="50">
        <f t="shared" si="30"/>
        <v>0</v>
      </c>
      <c r="P88" s="50">
        <f t="shared" si="31"/>
        <v>0</v>
      </c>
    </row>
    <row r="89" spans="2:21" ht="12.65" hidden="1" customHeight="1" outlineLevel="1" x14ac:dyDescent="0.35">
      <c r="B89" s="63">
        <f t="shared" si="26"/>
        <v>1096</v>
      </c>
      <c r="C89" s="64" t="s">
        <v>21</v>
      </c>
      <c r="D89" s="63">
        <f t="shared" si="27"/>
        <v>1110</v>
      </c>
      <c r="L89" s="65"/>
      <c r="M89" s="50">
        <f t="shared" si="28"/>
        <v>0</v>
      </c>
      <c r="N89" s="49">
        <f t="shared" si="29"/>
        <v>0</v>
      </c>
      <c r="O89" s="50">
        <f t="shared" si="30"/>
        <v>0</v>
      </c>
      <c r="P89" s="50">
        <f t="shared" si="31"/>
        <v>0</v>
      </c>
    </row>
    <row r="90" spans="2:21" hidden="1" outlineLevel="1" x14ac:dyDescent="0.35">
      <c r="B90" s="66"/>
      <c r="C90" s="42"/>
      <c r="D90" s="66"/>
    </row>
    <row r="91" spans="2:21" collapsed="1" x14ac:dyDescent="0.35">
      <c r="B91" s="66"/>
      <c r="C91" s="42"/>
      <c r="D91" s="66"/>
    </row>
    <row r="92" spans="2:21" x14ac:dyDescent="0.35">
      <c r="B92" s="66"/>
      <c r="C92" s="42"/>
      <c r="D92" s="66"/>
    </row>
    <row r="93" spans="2:21" x14ac:dyDescent="0.35">
      <c r="B93" s="17" t="s">
        <v>574</v>
      </c>
      <c r="N93" s="20" t="s">
        <v>8</v>
      </c>
      <c r="O93" s="20"/>
      <c r="P93" s="20"/>
    </row>
    <row r="95" spans="2:21" x14ac:dyDescent="0.35">
      <c r="H95" s="23"/>
      <c r="I95" s="26" t="s">
        <v>70</v>
      </c>
      <c r="J95" s="25" t="s">
        <v>269</v>
      </c>
      <c r="K95" s="25" t="s">
        <v>261</v>
      </c>
      <c r="L95" s="25" t="s">
        <v>262</v>
      </c>
      <c r="M95" s="25" t="s">
        <v>260</v>
      </c>
      <c r="N95" s="25"/>
      <c r="O95" s="25"/>
      <c r="P95" s="25" t="s">
        <v>263</v>
      </c>
    </row>
    <row r="96" spans="2:21" s="45" customFormat="1" x14ac:dyDescent="0.35">
      <c r="B96" s="27" t="s">
        <v>0</v>
      </c>
      <c r="C96" s="28"/>
      <c r="D96" s="27"/>
      <c r="E96" s="27"/>
      <c r="F96" s="27"/>
      <c r="G96" s="27"/>
      <c r="H96" s="27"/>
      <c r="I96" s="27"/>
      <c r="K96" s="67">
        <v>60</v>
      </c>
      <c r="L96" s="68">
        <v>80</v>
      </c>
      <c r="M96" s="67">
        <v>100</v>
      </c>
      <c r="N96" s="69">
        <v>100</v>
      </c>
      <c r="O96" s="69">
        <v>120</v>
      </c>
      <c r="P96" s="68">
        <v>120</v>
      </c>
      <c r="U96" s="19"/>
    </row>
    <row r="97" spans="2:21" s="45" customFormat="1" ht="23.9" customHeight="1" x14ac:dyDescent="0.35">
      <c r="B97" s="27" t="s">
        <v>5</v>
      </c>
      <c r="C97" s="28"/>
      <c r="D97" s="27"/>
      <c r="E97" s="27"/>
      <c r="F97" s="27"/>
      <c r="G97" s="27"/>
      <c r="H97" s="27"/>
      <c r="I97" s="27"/>
      <c r="K97" s="36">
        <v>0.6</v>
      </c>
      <c r="L97" s="37">
        <v>0.6</v>
      </c>
      <c r="M97" s="36">
        <v>0.6</v>
      </c>
      <c r="N97" s="38">
        <v>0.7</v>
      </c>
      <c r="O97" s="38">
        <v>0.6</v>
      </c>
      <c r="P97" s="37">
        <v>0.7</v>
      </c>
    </row>
    <row r="98" spans="2:21" s="45" customFormat="1" ht="11.6" x14ac:dyDescent="0.35">
      <c r="B98" s="27"/>
      <c r="C98" s="28"/>
      <c r="D98" s="27"/>
      <c r="E98" s="27"/>
      <c r="F98" s="27"/>
      <c r="G98" s="27"/>
      <c r="H98" s="27"/>
      <c r="I98" s="27"/>
      <c r="K98" s="40">
        <f>(10.8/2)*0.2</f>
        <v>1.08</v>
      </c>
      <c r="L98" s="40">
        <f>(10.8/2)*0.28</f>
        <v>1.5120000000000002</v>
      </c>
      <c r="M98" s="41">
        <f>(10.8/2)*0.33</f>
        <v>1.7820000000000003</v>
      </c>
      <c r="N98" s="41">
        <f>(12.6/2)*0.33</f>
        <v>2.0790000000000002</v>
      </c>
      <c r="O98" s="41">
        <f>(10.8/2)*0.4</f>
        <v>2.16</v>
      </c>
      <c r="P98" s="41">
        <f>(12.6/2)*0.4</f>
        <v>2.52</v>
      </c>
    </row>
    <row r="99" spans="2:21" s="45" customFormat="1" ht="11.6" x14ac:dyDescent="0.35">
      <c r="B99" s="26" t="s">
        <v>28</v>
      </c>
      <c r="C99" s="44"/>
      <c r="H99" s="26"/>
      <c r="K99" s="46">
        <v>0.52</v>
      </c>
      <c r="L99" s="47">
        <v>0.47</v>
      </c>
      <c r="M99" s="47">
        <v>0.45600000000000002</v>
      </c>
      <c r="N99" s="47">
        <v>0.46</v>
      </c>
      <c r="O99" s="47">
        <v>0.46500000000000002</v>
      </c>
      <c r="P99" s="47">
        <v>0.46</v>
      </c>
      <c r="S99" s="176" t="s">
        <v>22</v>
      </c>
      <c r="T99" s="53">
        <f>T1</f>
        <v>14</v>
      </c>
    </row>
    <row r="100" spans="2:21" s="45" customFormat="1" ht="12.45" hidden="1" customHeight="1" outlineLevel="1" x14ac:dyDescent="0.35">
      <c r="B100" s="70">
        <v>601</v>
      </c>
      <c r="C100" s="71" t="s">
        <v>21</v>
      </c>
      <c r="D100" s="72">
        <f t="shared" ref="D100:D130" si="32">B100+$T$99</f>
        <v>615</v>
      </c>
      <c r="E100" s="72"/>
      <c r="F100" s="72"/>
      <c r="K100" s="50">
        <f t="shared" ref="K100:K130" si="33">$U$1*($K$98*D100/100)/(100%-$K$99)</f>
        <v>0</v>
      </c>
      <c r="L100" s="51">
        <f t="shared" ref="L100:L130" si="34">$U$1*($L$98*D100/100)/(100%-$L$99)</f>
        <v>0</v>
      </c>
      <c r="M100" s="50">
        <f t="shared" ref="M100:M130" si="35">$U$1*($M$98*D100/100)/(100%-$M$99)</f>
        <v>0</v>
      </c>
      <c r="N100" s="49">
        <f t="shared" ref="N100:N130" si="36">$U$1*($N$98*D100/100)/(100%-$N$99)</f>
        <v>0</v>
      </c>
      <c r="O100" s="49">
        <f t="shared" ref="O100:O130" si="37">$U$1*($O$98*D100/100)/(100%-$O$99)</f>
        <v>0</v>
      </c>
      <c r="P100" s="51">
        <f t="shared" ref="P100:P130" si="38">$U$1*($P$98*D100/100)/(100%-$P$99)</f>
        <v>0</v>
      </c>
    </row>
    <row r="101" spans="2:21" s="45" customFormat="1" ht="12.45" hidden="1" customHeight="1" outlineLevel="1" x14ac:dyDescent="0.35">
      <c r="B101" s="70">
        <f t="shared" ref="B101:B126" si="39">D100+1</f>
        <v>616</v>
      </c>
      <c r="C101" s="71" t="s">
        <v>21</v>
      </c>
      <c r="D101" s="70">
        <f t="shared" si="32"/>
        <v>630</v>
      </c>
      <c r="E101" s="70"/>
      <c r="F101" s="70"/>
      <c r="K101" s="50">
        <f t="shared" si="33"/>
        <v>0</v>
      </c>
      <c r="L101" s="51">
        <f t="shared" si="34"/>
        <v>0</v>
      </c>
      <c r="M101" s="50">
        <f t="shared" si="35"/>
        <v>0</v>
      </c>
      <c r="N101" s="49">
        <f t="shared" si="36"/>
        <v>0</v>
      </c>
      <c r="O101" s="49">
        <f t="shared" si="37"/>
        <v>0</v>
      </c>
      <c r="P101" s="51">
        <f t="shared" si="38"/>
        <v>0</v>
      </c>
    </row>
    <row r="102" spans="2:21" s="45" customFormat="1" ht="12.45" hidden="1" customHeight="1" outlineLevel="1" x14ac:dyDescent="0.35">
      <c r="B102" s="70">
        <f t="shared" si="39"/>
        <v>631</v>
      </c>
      <c r="C102" s="71" t="s">
        <v>21</v>
      </c>
      <c r="D102" s="70">
        <f t="shared" si="32"/>
        <v>645</v>
      </c>
      <c r="E102" s="70"/>
      <c r="F102" s="70"/>
      <c r="K102" s="50">
        <f t="shared" si="33"/>
        <v>0</v>
      </c>
      <c r="L102" s="51">
        <f t="shared" si="34"/>
        <v>0</v>
      </c>
      <c r="M102" s="50">
        <f t="shared" si="35"/>
        <v>0</v>
      </c>
      <c r="N102" s="49">
        <f t="shared" si="36"/>
        <v>0</v>
      </c>
      <c r="O102" s="49">
        <f t="shared" si="37"/>
        <v>0</v>
      </c>
      <c r="P102" s="51">
        <f t="shared" si="38"/>
        <v>0</v>
      </c>
    </row>
    <row r="103" spans="2:21" s="45" customFormat="1" ht="12.45" hidden="1" customHeight="1" outlineLevel="1" x14ac:dyDescent="0.35">
      <c r="B103" s="70">
        <f t="shared" si="39"/>
        <v>646</v>
      </c>
      <c r="C103" s="71" t="s">
        <v>21</v>
      </c>
      <c r="D103" s="70">
        <f t="shared" si="32"/>
        <v>660</v>
      </c>
      <c r="E103" s="70"/>
      <c r="F103" s="70"/>
      <c r="K103" s="50">
        <f t="shared" si="33"/>
        <v>0</v>
      </c>
      <c r="L103" s="51">
        <f t="shared" si="34"/>
        <v>0</v>
      </c>
      <c r="M103" s="50">
        <f t="shared" si="35"/>
        <v>0</v>
      </c>
      <c r="N103" s="49">
        <f t="shared" si="36"/>
        <v>0</v>
      </c>
      <c r="O103" s="49">
        <f t="shared" si="37"/>
        <v>0</v>
      </c>
      <c r="P103" s="51">
        <f t="shared" si="38"/>
        <v>0</v>
      </c>
    </row>
    <row r="104" spans="2:21" s="45" customFormat="1" ht="12.45" hidden="1" customHeight="1" outlineLevel="1" x14ac:dyDescent="0.35">
      <c r="B104" s="70">
        <f t="shared" si="39"/>
        <v>661</v>
      </c>
      <c r="C104" s="71" t="s">
        <v>21</v>
      </c>
      <c r="D104" s="70">
        <f t="shared" si="32"/>
        <v>675</v>
      </c>
      <c r="E104" s="70"/>
      <c r="F104" s="70"/>
      <c r="K104" s="50">
        <f t="shared" si="33"/>
        <v>0</v>
      </c>
      <c r="L104" s="51">
        <f t="shared" si="34"/>
        <v>0</v>
      </c>
      <c r="M104" s="50">
        <f t="shared" si="35"/>
        <v>0</v>
      </c>
      <c r="N104" s="49">
        <f t="shared" si="36"/>
        <v>0</v>
      </c>
      <c r="O104" s="49">
        <f t="shared" si="37"/>
        <v>0</v>
      </c>
      <c r="P104" s="51">
        <f t="shared" si="38"/>
        <v>0</v>
      </c>
    </row>
    <row r="105" spans="2:21" s="45" customFormat="1" ht="12.45" hidden="1" customHeight="1" outlineLevel="1" x14ac:dyDescent="0.35">
      <c r="B105" s="70">
        <f t="shared" si="39"/>
        <v>676</v>
      </c>
      <c r="C105" s="71" t="s">
        <v>21</v>
      </c>
      <c r="D105" s="70">
        <f t="shared" si="32"/>
        <v>690</v>
      </c>
      <c r="E105" s="70"/>
      <c r="F105" s="70"/>
      <c r="K105" s="50">
        <f t="shared" si="33"/>
        <v>0</v>
      </c>
      <c r="L105" s="51">
        <f t="shared" si="34"/>
        <v>0</v>
      </c>
      <c r="M105" s="50">
        <f t="shared" si="35"/>
        <v>0</v>
      </c>
      <c r="N105" s="49">
        <f t="shared" si="36"/>
        <v>0</v>
      </c>
      <c r="O105" s="49">
        <f t="shared" si="37"/>
        <v>0</v>
      </c>
      <c r="P105" s="51">
        <f t="shared" si="38"/>
        <v>0</v>
      </c>
    </row>
    <row r="106" spans="2:21" s="45" customFormat="1" ht="12.45" hidden="1" customHeight="1" outlineLevel="1" x14ac:dyDescent="0.35">
      <c r="B106" s="70">
        <f t="shared" si="39"/>
        <v>691</v>
      </c>
      <c r="C106" s="71" t="s">
        <v>21</v>
      </c>
      <c r="D106" s="70">
        <f t="shared" si="32"/>
        <v>705</v>
      </c>
      <c r="E106" s="70"/>
      <c r="F106" s="70"/>
      <c r="K106" s="50">
        <f t="shared" si="33"/>
        <v>0</v>
      </c>
      <c r="L106" s="51">
        <f t="shared" si="34"/>
        <v>0</v>
      </c>
      <c r="M106" s="50">
        <f t="shared" si="35"/>
        <v>0</v>
      </c>
      <c r="N106" s="49">
        <f t="shared" si="36"/>
        <v>0</v>
      </c>
      <c r="O106" s="49">
        <f t="shared" si="37"/>
        <v>0</v>
      </c>
      <c r="P106" s="51">
        <f t="shared" si="38"/>
        <v>0</v>
      </c>
      <c r="Q106" s="19"/>
      <c r="R106" s="19"/>
    </row>
    <row r="107" spans="2:21" ht="12.45" hidden="1" customHeight="1" outlineLevel="1" x14ac:dyDescent="0.35">
      <c r="B107" s="70">
        <f t="shared" si="39"/>
        <v>706</v>
      </c>
      <c r="C107" s="71" t="s">
        <v>21</v>
      </c>
      <c r="D107" s="70">
        <f t="shared" si="32"/>
        <v>720</v>
      </c>
      <c r="E107" s="70"/>
      <c r="F107" s="70"/>
      <c r="K107" s="50">
        <f t="shared" si="33"/>
        <v>0</v>
      </c>
      <c r="L107" s="51">
        <f t="shared" si="34"/>
        <v>0</v>
      </c>
      <c r="M107" s="50">
        <f t="shared" si="35"/>
        <v>0</v>
      </c>
      <c r="N107" s="49">
        <f t="shared" si="36"/>
        <v>0</v>
      </c>
      <c r="O107" s="49">
        <f t="shared" si="37"/>
        <v>0</v>
      </c>
      <c r="P107" s="51">
        <f t="shared" si="38"/>
        <v>0</v>
      </c>
      <c r="U107" s="45"/>
    </row>
    <row r="108" spans="2:21" ht="12.45" hidden="1" customHeight="1" outlineLevel="1" x14ac:dyDescent="0.35">
      <c r="B108" s="70">
        <f t="shared" si="39"/>
        <v>721</v>
      </c>
      <c r="C108" s="71" t="s">
        <v>21</v>
      </c>
      <c r="D108" s="70">
        <f t="shared" si="32"/>
        <v>735</v>
      </c>
      <c r="E108" s="70"/>
      <c r="F108" s="70"/>
      <c r="K108" s="50">
        <f t="shared" si="33"/>
        <v>0</v>
      </c>
      <c r="L108" s="51">
        <f t="shared" si="34"/>
        <v>0</v>
      </c>
      <c r="M108" s="50">
        <f t="shared" si="35"/>
        <v>0</v>
      </c>
      <c r="N108" s="49">
        <f t="shared" si="36"/>
        <v>0</v>
      </c>
      <c r="O108" s="49">
        <f t="shared" si="37"/>
        <v>0</v>
      </c>
      <c r="P108" s="51">
        <f t="shared" si="38"/>
        <v>0</v>
      </c>
    </row>
    <row r="109" spans="2:21" ht="12.45" hidden="1" customHeight="1" outlineLevel="1" x14ac:dyDescent="0.35">
      <c r="B109" s="70">
        <f t="shared" si="39"/>
        <v>736</v>
      </c>
      <c r="C109" s="71" t="s">
        <v>21</v>
      </c>
      <c r="D109" s="70">
        <f t="shared" si="32"/>
        <v>750</v>
      </c>
      <c r="E109" s="70"/>
      <c r="F109" s="70"/>
      <c r="K109" s="50">
        <f t="shared" si="33"/>
        <v>0</v>
      </c>
      <c r="L109" s="51">
        <f t="shared" si="34"/>
        <v>0</v>
      </c>
      <c r="M109" s="50">
        <f t="shared" si="35"/>
        <v>0</v>
      </c>
      <c r="N109" s="49">
        <f t="shared" si="36"/>
        <v>0</v>
      </c>
      <c r="O109" s="49">
        <f t="shared" si="37"/>
        <v>0</v>
      </c>
      <c r="P109" s="51">
        <f t="shared" si="38"/>
        <v>0</v>
      </c>
    </row>
    <row r="110" spans="2:21" ht="12.45" hidden="1" customHeight="1" outlineLevel="1" x14ac:dyDescent="0.35">
      <c r="B110" s="70">
        <f t="shared" si="39"/>
        <v>751</v>
      </c>
      <c r="C110" s="71" t="s">
        <v>21</v>
      </c>
      <c r="D110" s="70">
        <f t="shared" si="32"/>
        <v>765</v>
      </c>
      <c r="E110" s="70"/>
      <c r="F110" s="70"/>
      <c r="K110" s="50">
        <f t="shared" si="33"/>
        <v>0</v>
      </c>
      <c r="L110" s="51">
        <f t="shared" si="34"/>
        <v>0</v>
      </c>
      <c r="M110" s="50">
        <f t="shared" si="35"/>
        <v>0</v>
      </c>
      <c r="N110" s="49">
        <f t="shared" si="36"/>
        <v>0</v>
      </c>
      <c r="O110" s="49">
        <f t="shared" si="37"/>
        <v>0</v>
      </c>
      <c r="P110" s="51">
        <f t="shared" si="38"/>
        <v>0</v>
      </c>
    </row>
    <row r="111" spans="2:21" ht="12.45" hidden="1" customHeight="1" outlineLevel="1" x14ac:dyDescent="0.35">
      <c r="B111" s="70">
        <f t="shared" si="39"/>
        <v>766</v>
      </c>
      <c r="C111" s="71" t="s">
        <v>21</v>
      </c>
      <c r="D111" s="70">
        <f t="shared" si="32"/>
        <v>780</v>
      </c>
      <c r="E111" s="70"/>
      <c r="F111" s="70"/>
      <c r="K111" s="50">
        <f t="shared" si="33"/>
        <v>0</v>
      </c>
      <c r="L111" s="51">
        <f t="shared" si="34"/>
        <v>0</v>
      </c>
      <c r="M111" s="50">
        <f t="shared" si="35"/>
        <v>0</v>
      </c>
      <c r="N111" s="49">
        <f t="shared" si="36"/>
        <v>0</v>
      </c>
      <c r="O111" s="49">
        <f t="shared" si="37"/>
        <v>0</v>
      </c>
      <c r="P111" s="51">
        <f t="shared" si="38"/>
        <v>0</v>
      </c>
    </row>
    <row r="112" spans="2:21" ht="12.45" hidden="1" customHeight="1" outlineLevel="1" x14ac:dyDescent="0.35">
      <c r="B112" s="70">
        <f t="shared" si="39"/>
        <v>781</v>
      </c>
      <c r="C112" s="71" t="s">
        <v>21</v>
      </c>
      <c r="D112" s="70">
        <f t="shared" si="32"/>
        <v>795</v>
      </c>
      <c r="E112" s="70"/>
      <c r="F112" s="70"/>
      <c r="K112" s="50">
        <f t="shared" si="33"/>
        <v>0</v>
      </c>
      <c r="L112" s="51">
        <f t="shared" si="34"/>
        <v>0</v>
      </c>
      <c r="M112" s="50">
        <f t="shared" si="35"/>
        <v>0</v>
      </c>
      <c r="N112" s="49">
        <f t="shared" si="36"/>
        <v>0</v>
      </c>
      <c r="O112" s="49">
        <f t="shared" si="37"/>
        <v>0</v>
      </c>
      <c r="P112" s="51">
        <f t="shared" si="38"/>
        <v>0</v>
      </c>
    </row>
    <row r="113" spans="2:16" ht="12.45" hidden="1" customHeight="1" outlineLevel="1" x14ac:dyDescent="0.35">
      <c r="B113" s="70">
        <f t="shared" si="39"/>
        <v>796</v>
      </c>
      <c r="C113" s="71" t="s">
        <v>21</v>
      </c>
      <c r="D113" s="70">
        <f t="shared" si="32"/>
        <v>810</v>
      </c>
      <c r="E113" s="70"/>
      <c r="F113" s="70"/>
      <c r="K113" s="50">
        <f t="shared" si="33"/>
        <v>0</v>
      </c>
      <c r="L113" s="51">
        <f t="shared" si="34"/>
        <v>0</v>
      </c>
      <c r="M113" s="50">
        <f t="shared" si="35"/>
        <v>0</v>
      </c>
      <c r="N113" s="49">
        <f t="shared" si="36"/>
        <v>0</v>
      </c>
      <c r="O113" s="49">
        <f t="shared" si="37"/>
        <v>0</v>
      </c>
      <c r="P113" s="51">
        <f t="shared" si="38"/>
        <v>0</v>
      </c>
    </row>
    <row r="114" spans="2:16" ht="12.45" hidden="1" customHeight="1" outlineLevel="1" x14ac:dyDescent="0.35">
      <c r="B114" s="70">
        <f t="shared" si="39"/>
        <v>811</v>
      </c>
      <c r="C114" s="71" t="s">
        <v>21</v>
      </c>
      <c r="D114" s="70">
        <f t="shared" si="32"/>
        <v>825</v>
      </c>
      <c r="E114" s="70"/>
      <c r="F114" s="70"/>
      <c r="K114" s="50">
        <f t="shared" si="33"/>
        <v>0</v>
      </c>
      <c r="L114" s="51">
        <f t="shared" si="34"/>
        <v>0</v>
      </c>
      <c r="M114" s="50">
        <f t="shared" si="35"/>
        <v>0</v>
      </c>
      <c r="N114" s="49">
        <f t="shared" si="36"/>
        <v>0</v>
      </c>
      <c r="O114" s="49">
        <f t="shared" si="37"/>
        <v>0</v>
      </c>
      <c r="P114" s="51">
        <f t="shared" si="38"/>
        <v>0</v>
      </c>
    </row>
    <row r="115" spans="2:16" ht="12.45" hidden="1" customHeight="1" outlineLevel="1" x14ac:dyDescent="0.35">
      <c r="B115" s="70">
        <f t="shared" si="39"/>
        <v>826</v>
      </c>
      <c r="C115" s="71" t="s">
        <v>21</v>
      </c>
      <c r="D115" s="70">
        <f t="shared" si="32"/>
        <v>840</v>
      </c>
      <c r="E115" s="70"/>
      <c r="F115" s="70"/>
      <c r="K115" s="50">
        <f t="shared" si="33"/>
        <v>0</v>
      </c>
      <c r="L115" s="51">
        <f t="shared" si="34"/>
        <v>0</v>
      </c>
      <c r="M115" s="50">
        <f t="shared" si="35"/>
        <v>0</v>
      </c>
      <c r="N115" s="49">
        <f t="shared" si="36"/>
        <v>0</v>
      </c>
      <c r="O115" s="49">
        <f t="shared" si="37"/>
        <v>0</v>
      </c>
      <c r="P115" s="51">
        <f t="shared" si="38"/>
        <v>0</v>
      </c>
    </row>
    <row r="116" spans="2:16" ht="12.45" hidden="1" customHeight="1" outlineLevel="1" x14ac:dyDescent="0.35">
      <c r="B116" s="70">
        <f t="shared" si="39"/>
        <v>841</v>
      </c>
      <c r="C116" s="71" t="s">
        <v>21</v>
      </c>
      <c r="D116" s="70">
        <f t="shared" si="32"/>
        <v>855</v>
      </c>
      <c r="E116" s="70"/>
      <c r="F116" s="70"/>
      <c r="K116" s="50">
        <f t="shared" si="33"/>
        <v>0</v>
      </c>
      <c r="L116" s="51">
        <f t="shared" si="34"/>
        <v>0</v>
      </c>
      <c r="M116" s="50">
        <f t="shared" si="35"/>
        <v>0</v>
      </c>
      <c r="N116" s="49">
        <f t="shared" si="36"/>
        <v>0</v>
      </c>
      <c r="O116" s="49">
        <f t="shared" si="37"/>
        <v>0</v>
      </c>
      <c r="P116" s="51">
        <f t="shared" si="38"/>
        <v>0</v>
      </c>
    </row>
    <row r="117" spans="2:16" ht="12.45" hidden="1" customHeight="1" outlineLevel="1" x14ac:dyDescent="0.35">
      <c r="B117" s="70">
        <f t="shared" si="39"/>
        <v>856</v>
      </c>
      <c r="C117" s="71" t="s">
        <v>21</v>
      </c>
      <c r="D117" s="70">
        <f t="shared" si="32"/>
        <v>870</v>
      </c>
      <c r="E117" s="70"/>
      <c r="F117" s="70"/>
      <c r="K117" s="50">
        <f t="shared" si="33"/>
        <v>0</v>
      </c>
      <c r="L117" s="51">
        <f t="shared" si="34"/>
        <v>0</v>
      </c>
      <c r="M117" s="50">
        <f t="shared" si="35"/>
        <v>0</v>
      </c>
      <c r="N117" s="49">
        <f t="shared" si="36"/>
        <v>0</v>
      </c>
      <c r="O117" s="49">
        <f t="shared" si="37"/>
        <v>0</v>
      </c>
      <c r="P117" s="51">
        <f t="shared" si="38"/>
        <v>0</v>
      </c>
    </row>
    <row r="118" spans="2:16" ht="12.45" hidden="1" customHeight="1" outlineLevel="1" x14ac:dyDescent="0.35">
      <c r="B118" s="70">
        <f t="shared" si="39"/>
        <v>871</v>
      </c>
      <c r="C118" s="71" t="s">
        <v>21</v>
      </c>
      <c r="D118" s="70">
        <f t="shared" si="32"/>
        <v>885</v>
      </c>
      <c r="E118" s="70"/>
      <c r="F118" s="70"/>
      <c r="K118" s="50">
        <f t="shared" si="33"/>
        <v>0</v>
      </c>
      <c r="L118" s="51">
        <f t="shared" si="34"/>
        <v>0</v>
      </c>
      <c r="M118" s="50">
        <f t="shared" si="35"/>
        <v>0</v>
      </c>
      <c r="N118" s="49">
        <f t="shared" si="36"/>
        <v>0</v>
      </c>
      <c r="O118" s="49">
        <f t="shared" si="37"/>
        <v>0</v>
      </c>
      <c r="P118" s="51">
        <f t="shared" si="38"/>
        <v>0</v>
      </c>
    </row>
    <row r="119" spans="2:16" ht="12.45" hidden="1" customHeight="1" outlineLevel="1" x14ac:dyDescent="0.35">
      <c r="B119" s="70">
        <f t="shared" si="39"/>
        <v>886</v>
      </c>
      <c r="C119" s="71" t="s">
        <v>21</v>
      </c>
      <c r="D119" s="70">
        <f t="shared" si="32"/>
        <v>900</v>
      </c>
      <c r="E119" s="70"/>
      <c r="F119" s="70"/>
      <c r="K119" s="50">
        <f t="shared" si="33"/>
        <v>0</v>
      </c>
      <c r="L119" s="51">
        <f t="shared" si="34"/>
        <v>0</v>
      </c>
      <c r="M119" s="50">
        <f t="shared" si="35"/>
        <v>0</v>
      </c>
      <c r="N119" s="49">
        <f t="shared" si="36"/>
        <v>0</v>
      </c>
      <c r="O119" s="49">
        <f t="shared" si="37"/>
        <v>0</v>
      </c>
      <c r="P119" s="51">
        <f t="shared" si="38"/>
        <v>0</v>
      </c>
    </row>
    <row r="120" spans="2:16" ht="12.45" hidden="1" customHeight="1" outlineLevel="1" x14ac:dyDescent="0.35">
      <c r="B120" s="70">
        <f t="shared" si="39"/>
        <v>901</v>
      </c>
      <c r="C120" s="71" t="s">
        <v>21</v>
      </c>
      <c r="D120" s="70">
        <f t="shared" si="32"/>
        <v>915</v>
      </c>
      <c r="E120" s="70"/>
      <c r="F120" s="70"/>
      <c r="K120" s="50">
        <f t="shared" si="33"/>
        <v>0</v>
      </c>
      <c r="L120" s="51">
        <f t="shared" si="34"/>
        <v>0</v>
      </c>
      <c r="M120" s="50">
        <f t="shared" si="35"/>
        <v>0</v>
      </c>
      <c r="N120" s="49">
        <f t="shared" si="36"/>
        <v>0</v>
      </c>
      <c r="O120" s="49">
        <f t="shared" si="37"/>
        <v>0</v>
      </c>
      <c r="P120" s="51">
        <f t="shared" si="38"/>
        <v>0</v>
      </c>
    </row>
    <row r="121" spans="2:16" ht="12.45" hidden="1" customHeight="1" outlineLevel="1" x14ac:dyDescent="0.35">
      <c r="B121" s="70">
        <f t="shared" si="39"/>
        <v>916</v>
      </c>
      <c r="C121" s="71" t="s">
        <v>21</v>
      </c>
      <c r="D121" s="70">
        <f t="shared" si="32"/>
        <v>930</v>
      </c>
      <c r="E121" s="70"/>
      <c r="F121" s="70"/>
      <c r="K121" s="50">
        <f t="shared" si="33"/>
        <v>0</v>
      </c>
      <c r="L121" s="51">
        <f t="shared" si="34"/>
        <v>0</v>
      </c>
      <c r="M121" s="50">
        <f t="shared" si="35"/>
        <v>0</v>
      </c>
      <c r="N121" s="49">
        <f t="shared" si="36"/>
        <v>0</v>
      </c>
      <c r="O121" s="49">
        <f t="shared" si="37"/>
        <v>0</v>
      </c>
      <c r="P121" s="51">
        <f t="shared" si="38"/>
        <v>0</v>
      </c>
    </row>
    <row r="122" spans="2:16" ht="12.45" hidden="1" customHeight="1" outlineLevel="1" x14ac:dyDescent="0.35">
      <c r="B122" s="70">
        <f t="shared" si="39"/>
        <v>931</v>
      </c>
      <c r="C122" s="71" t="s">
        <v>21</v>
      </c>
      <c r="D122" s="70">
        <f t="shared" si="32"/>
        <v>945</v>
      </c>
      <c r="E122" s="70"/>
      <c r="F122" s="70"/>
      <c r="K122" s="50">
        <f t="shared" si="33"/>
        <v>0</v>
      </c>
      <c r="L122" s="51">
        <f t="shared" si="34"/>
        <v>0</v>
      </c>
      <c r="M122" s="50">
        <f t="shared" si="35"/>
        <v>0</v>
      </c>
      <c r="N122" s="49">
        <f t="shared" si="36"/>
        <v>0</v>
      </c>
      <c r="O122" s="49">
        <f t="shared" si="37"/>
        <v>0</v>
      </c>
      <c r="P122" s="51">
        <f t="shared" si="38"/>
        <v>0</v>
      </c>
    </row>
    <row r="123" spans="2:16" ht="12.45" hidden="1" customHeight="1" outlineLevel="1" x14ac:dyDescent="0.35">
      <c r="B123" s="70">
        <f t="shared" si="39"/>
        <v>946</v>
      </c>
      <c r="C123" s="71" t="s">
        <v>21</v>
      </c>
      <c r="D123" s="70">
        <f t="shared" si="32"/>
        <v>960</v>
      </c>
      <c r="E123" s="70"/>
      <c r="F123" s="70"/>
      <c r="K123" s="50">
        <f t="shared" si="33"/>
        <v>0</v>
      </c>
      <c r="L123" s="51">
        <f t="shared" si="34"/>
        <v>0</v>
      </c>
      <c r="M123" s="50">
        <f t="shared" si="35"/>
        <v>0</v>
      </c>
      <c r="N123" s="49">
        <f t="shared" si="36"/>
        <v>0</v>
      </c>
      <c r="O123" s="49">
        <f t="shared" si="37"/>
        <v>0</v>
      </c>
      <c r="P123" s="51">
        <f t="shared" si="38"/>
        <v>0</v>
      </c>
    </row>
    <row r="124" spans="2:16" ht="12.45" hidden="1" customHeight="1" outlineLevel="1" x14ac:dyDescent="0.35">
      <c r="B124" s="70">
        <f t="shared" si="39"/>
        <v>961</v>
      </c>
      <c r="C124" s="71" t="s">
        <v>21</v>
      </c>
      <c r="D124" s="70">
        <f t="shared" si="32"/>
        <v>975</v>
      </c>
      <c r="E124" s="70"/>
      <c r="F124" s="70"/>
      <c r="K124" s="50">
        <f t="shared" si="33"/>
        <v>0</v>
      </c>
      <c r="L124" s="51">
        <f t="shared" si="34"/>
        <v>0</v>
      </c>
      <c r="M124" s="50">
        <f t="shared" si="35"/>
        <v>0</v>
      </c>
      <c r="N124" s="49">
        <f t="shared" si="36"/>
        <v>0</v>
      </c>
      <c r="O124" s="49">
        <f t="shared" si="37"/>
        <v>0</v>
      </c>
      <c r="P124" s="51">
        <f t="shared" si="38"/>
        <v>0</v>
      </c>
    </row>
    <row r="125" spans="2:16" ht="12.45" hidden="1" customHeight="1" outlineLevel="1" x14ac:dyDescent="0.35">
      <c r="B125" s="70">
        <f t="shared" si="39"/>
        <v>976</v>
      </c>
      <c r="C125" s="71" t="s">
        <v>21</v>
      </c>
      <c r="D125" s="70">
        <f t="shared" si="32"/>
        <v>990</v>
      </c>
      <c r="E125" s="70"/>
      <c r="F125" s="70"/>
      <c r="K125" s="50">
        <f t="shared" si="33"/>
        <v>0</v>
      </c>
      <c r="L125" s="51">
        <f t="shared" si="34"/>
        <v>0</v>
      </c>
      <c r="M125" s="50">
        <f t="shared" si="35"/>
        <v>0</v>
      </c>
      <c r="N125" s="49">
        <f t="shared" si="36"/>
        <v>0</v>
      </c>
      <c r="O125" s="49">
        <f t="shared" si="37"/>
        <v>0</v>
      </c>
      <c r="P125" s="51">
        <f t="shared" si="38"/>
        <v>0</v>
      </c>
    </row>
    <row r="126" spans="2:16" ht="12.65" hidden="1" customHeight="1" outlineLevel="1" x14ac:dyDescent="0.35">
      <c r="B126" s="70">
        <f t="shared" si="39"/>
        <v>991</v>
      </c>
      <c r="C126" s="71" t="s">
        <v>21</v>
      </c>
      <c r="D126" s="70">
        <f t="shared" si="32"/>
        <v>1005</v>
      </c>
      <c r="E126" s="70"/>
      <c r="F126" s="70"/>
      <c r="K126" s="50">
        <f t="shared" si="33"/>
        <v>0</v>
      </c>
      <c r="L126" s="51">
        <f t="shared" si="34"/>
        <v>0</v>
      </c>
      <c r="M126" s="50">
        <f t="shared" si="35"/>
        <v>0</v>
      </c>
      <c r="N126" s="49">
        <f t="shared" si="36"/>
        <v>0</v>
      </c>
      <c r="O126" s="49">
        <f t="shared" si="37"/>
        <v>0</v>
      </c>
      <c r="P126" s="51">
        <f t="shared" si="38"/>
        <v>0</v>
      </c>
    </row>
    <row r="127" spans="2:16" ht="12.65" hidden="1" customHeight="1" outlineLevel="1" x14ac:dyDescent="0.35">
      <c r="B127" s="70">
        <f>D126+1</f>
        <v>1006</v>
      </c>
      <c r="C127" s="71" t="s">
        <v>21</v>
      </c>
      <c r="D127" s="70">
        <f t="shared" si="32"/>
        <v>1020</v>
      </c>
      <c r="E127" s="70"/>
      <c r="F127" s="70"/>
      <c r="K127" s="50">
        <f t="shared" si="33"/>
        <v>0</v>
      </c>
      <c r="L127" s="51">
        <f t="shared" si="34"/>
        <v>0</v>
      </c>
      <c r="M127" s="50">
        <f t="shared" si="35"/>
        <v>0</v>
      </c>
      <c r="N127" s="49">
        <f t="shared" si="36"/>
        <v>0</v>
      </c>
      <c r="O127" s="49">
        <f t="shared" si="37"/>
        <v>0</v>
      </c>
      <c r="P127" s="51">
        <f t="shared" si="38"/>
        <v>0</v>
      </c>
    </row>
    <row r="128" spans="2:16" ht="12.65" hidden="1" customHeight="1" outlineLevel="1" x14ac:dyDescent="0.35">
      <c r="B128" s="70">
        <f>D127+1</f>
        <v>1021</v>
      </c>
      <c r="C128" s="71" t="s">
        <v>21</v>
      </c>
      <c r="D128" s="70">
        <f t="shared" si="32"/>
        <v>1035</v>
      </c>
      <c r="E128" s="70"/>
      <c r="F128" s="70"/>
      <c r="K128" s="50">
        <f t="shared" si="33"/>
        <v>0</v>
      </c>
      <c r="L128" s="51">
        <f t="shared" si="34"/>
        <v>0</v>
      </c>
      <c r="M128" s="50">
        <f t="shared" si="35"/>
        <v>0</v>
      </c>
      <c r="N128" s="49">
        <f t="shared" si="36"/>
        <v>0</v>
      </c>
      <c r="O128" s="49">
        <f t="shared" si="37"/>
        <v>0</v>
      </c>
      <c r="P128" s="51">
        <f t="shared" si="38"/>
        <v>0</v>
      </c>
    </row>
    <row r="129" spans="2:23" ht="12.65" hidden="1" customHeight="1" outlineLevel="1" x14ac:dyDescent="0.35">
      <c r="B129" s="70">
        <f>D128+1</f>
        <v>1036</v>
      </c>
      <c r="C129" s="71" t="s">
        <v>21</v>
      </c>
      <c r="D129" s="70">
        <f t="shared" si="32"/>
        <v>1050</v>
      </c>
      <c r="E129" s="70"/>
      <c r="F129" s="70"/>
      <c r="K129" s="50">
        <f t="shared" si="33"/>
        <v>0</v>
      </c>
      <c r="L129" s="51">
        <f t="shared" si="34"/>
        <v>0</v>
      </c>
      <c r="M129" s="50">
        <f t="shared" si="35"/>
        <v>0</v>
      </c>
      <c r="N129" s="49">
        <f t="shared" si="36"/>
        <v>0</v>
      </c>
      <c r="O129" s="49">
        <f t="shared" si="37"/>
        <v>0</v>
      </c>
      <c r="P129" s="51">
        <f t="shared" si="38"/>
        <v>0</v>
      </c>
    </row>
    <row r="130" spans="2:23" ht="12.65" hidden="1" customHeight="1" outlineLevel="1" x14ac:dyDescent="0.35">
      <c r="B130" s="70">
        <f>D129+1</f>
        <v>1051</v>
      </c>
      <c r="C130" s="71" t="s">
        <v>21</v>
      </c>
      <c r="D130" s="70">
        <f t="shared" si="32"/>
        <v>1065</v>
      </c>
      <c r="E130" s="70"/>
      <c r="F130" s="70"/>
      <c r="K130" s="50">
        <f t="shared" si="33"/>
        <v>0</v>
      </c>
      <c r="L130" s="51">
        <f t="shared" si="34"/>
        <v>0</v>
      </c>
      <c r="M130" s="50">
        <f t="shared" si="35"/>
        <v>0</v>
      </c>
      <c r="N130" s="49">
        <f t="shared" si="36"/>
        <v>0</v>
      </c>
      <c r="O130" s="49">
        <f t="shared" si="37"/>
        <v>0</v>
      </c>
      <c r="P130" s="51">
        <f t="shared" si="38"/>
        <v>0</v>
      </c>
    </row>
    <row r="131" spans="2:23" ht="12.65" hidden="1" customHeight="1" outlineLevel="1" x14ac:dyDescent="0.35">
      <c r="B131" s="70">
        <f t="shared" ref="B131:B133" si="40">D130+1</f>
        <v>1066</v>
      </c>
      <c r="C131" s="71" t="s">
        <v>21</v>
      </c>
      <c r="D131" s="70">
        <f t="shared" ref="D131:D133" si="41">B131+$T$99</f>
        <v>1080</v>
      </c>
      <c r="E131" s="70"/>
      <c r="F131" s="70"/>
      <c r="K131" s="50">
        <f t="shared" ref="K131:K133" si="42">$U$1*($K$98*D131/100)/(100%-$K$99)</f>
        <v>0</v>
      </c>
      <c r="L131" s="51">
        <f t="shared" ref="L131:L133" si="43">$U$1*($L$98*D131/100)/(100%-$L$99)</f>
        <v>0</v>
      </c>
      <c r="M131" s="50">
        <f t="shared" ref="M131:M133" si="44">$U$1*($M$98*D131/100)/(100%-$M$99)</f>
        <v>0</v>
      </c>
      <c r="N131" s="49">
        <f t="shared" ref="N131:N133" si="45">$U$1*($N$98*D131/100)/(100%-$N$99)</f>
        <v>0</v>
      </c>
      <c r="O131" s="49">
        <f t="shared" ref="O131:O133" si="46">$U$1*($O$98*D131/100)/(100%-$O$99)</f>
        <v>0</v>
      </c>
      <c r="P131" s="51">
        <f t="shared" ref="P131:P133" si="47">$U$1*($P$98*D131/100)/(100%-$P$99)</f>
        <v>0</v>
      </c>
    </row>
    <row r="132" spans="2:23" ht="12.65" hidden="1" customHeight="1" outlineLevel="1" x14ac:dyDescent="0.35">
      <c r="B132" s="70">
        <f t="shared" si="40"/>
        <v>1081</v>
      </c>
      <c r="C132" s="71" t="s">
        <v>21</v>
      </c>
      <c r="D132" s="70">
        <f t="shared" si="41"/>
        <v>1095</v>
      </c>
      <c r="E132" s="70"/>
      <c r="F132" s="70"/>
      <c r="K132" s="50">
        <f t="shared" si="42"/>
        <v>0</v>
      </c>
      <c r="L132" s="51">
        <f t="shared" si="43"/>
        <v>0</v>
      </c>
      <c r="M132" s="50">
        <f t="shared" si="44"/>
        <v>0</v>
      </c>
      <c r="N132" s="49">
        <f t="shared" si="45"/>
        <v>0</v>
      </c>
      <c r="O132" s="49">
        <f t="shared" si="46"/>
        <v>0</v>
      </c>
      <c r="P132" s="51">
        <f t="shared" si="47"/>
        <v>0</v>
      </c>
    </row>
    <row r="133" spans="2:23" ht="12.65" hidden="1" customHeight="1" outlineLevel="1" x14ac:dyDescent="0.35">
      <c r="B133" s="70">
        <f t="shared" si="40"/>
        <v>1096</v>
      </c>
      <c r="C133" s="71" t="s">
        <v>21</v>
      </c>
      <c r="D133" s="70">
        <f t="shared" si="41"/>
        <v>1110</v>
      </c>
      <c r="E133" s="70"/>
      <c r="F133" s="70"/>
      <c r="K133" s="50">
        <f t="shared" si="42"/>
        <v>0</v>
      </c>
      <c r="L133" s="51">
        <f t="shared" si="43"/>
        <v>0</v>
      </c>
      <c r="M133" s="50">
        <f t="shared" si="44"/>
        <v>0</v>
      </c>
      <c r="N133" s="49">
        <f t="shared" si="45"/>
        <v>0</v>
      </c>
      <c r="O133" s="49">
        <f t="shared" si="46"/>
        <v>0</v>
      </c>
      <c r="P133" s="51">
        <f t="shared" si="47"/>
        <v>0</v>
      </c>
    </row>
    <row r="134" spans="2:23" hidden="1" outlineLevel="1" x14ac:dyDescent="0.35"/>
    <row r="135" spans="2:23" hidden="1" outlineLevel="1" x14ac:dyDescent="0.35"/>
    <row r="136" spans="2:23" collapsed="1" x14ac:dyDescent="0.35"/>
    <row r="138" spans="2:23" x14ac:dyDescent="0.35">
      <c r="F138" s="73"/>
    </row>
    <row r="139" spans="2:23" x14ac:dyDescent="0.35">
      <c r="B139" s="17" t="s">
        <v>575</v>
      </c>
    </row>
    <row r="140" spans="2:23" x14ac:dyDescent="0.35">
      <c r="N140" s="45"/>
      <c r="O140" s="45"/>
      <c r="P140" s="45"/>
      <c r="Q140" s="45"/>
      <c r="R140" s="45"/>
    </row>
    <row r="141" spans="2:23" s="45" customFormat="1" x14ac:dyDescent="0.35">
      <c r="B141" s="26" t="s">
        <v>27</v>
      </c>
      <c r="D141" s="26" t="s">
        <v>29</v>
      </c>
      <c r="E141" s="28"/>
      <c r="F141" s="27"/>
      <c r="G141" s="74"/>
      <c r="H141" s="74"/>
      <c r="I141" s="74"/>
      <c r="J141" s="74"/>
      <c r="K141" s="75"/>
      <c r="L141" s="76">
        <v>901</v>
      </c>
      <c r="M141" s="76">
        <f>L142+1</f>
        <v>1001</v>
      </c>
      <c r="N141" s="76">
        <f>M142+1</f>
        <v>1101</v>
      </c>
      <c r="O141" s="76">
        <f>N142+1</f>
        <v>1201</v>
      </c>
      <c r="P141" s="76">
        <f>O142+1</f>
        <v>1301</v>
      </c>
      <c r="Q141" s="74"/>
      <c r="S141" s="176" t="s">
        <v>22</v>
      </c>
      <c r="T141" s="53">
        <f>T3</f>
        <v>99</v>
      </c>
      <c r="U141" s="19"/>
    </row>
    <row r="142" spans="2:23" s="45" customFormat="1" ht="11.6" x14ac:dyDescent="0.35">
      <c r="D142" s="27"/>
      <c r="E142" s="28"/>
      <c r="F142" s="77"/>
      <c r="G142" s="48"/>
      <c r="H142" s="48"/>
      <c r="I142" s="48"/>
      <c r="J142" s="48"/>
      <c r="K142" s="78" t="s">
        <v>26</v>
      </c>
      <c r="L142" s="79">
        <f>L141+$T$141</f>
        <v>1000</v>
      </c>
      <c r="M142" s="79">
        <f>M141+$T$141</f>
        <v>1100</v>
      </c>
      <c r="N142" s="79">
        <f>N141+$T$141</f>
        <v>1200</v>
      </c>
      <c r="O142" s="79">
        <f>O141+$T$141</f>
        <v>1300</v>
      </c>
      <c r="P142" s="79">
        <f>P141+$T$141</f>
        <v>1400</v>
      </c>
      <c r="Q142" s="48"/>
    </row>
    <row r="143" spans="2:23" s="45" customFormat="1" ht="12" thickBot="1" x14ac:dyDescent="0.4">
      <c r="D143" s="27"/>
      <c r="E143" s="28"/>
      <c r="F143" s="27"/>
      <c r="G143" s="27"/>
      <c r="H143" s="27"/>
      <c r="I143" s="27"/>
      <c r="J143" s="27"/>
      <c r="K143" s="80"/>
      <c r="L143" s="81"/>
      <c r="M143" s="35"/>
      <c r="N143" s="59"/>
      <c r="O143" s="26"/>
      <c r="P143" s="279"/>
      <c r="Q143" s="139" t="s">
        <v>776</v>
      </c>
      <c r="R143" s="139" t="s">
        <v>779</v>
      </c>
      <c r="S143" s="139" t="s">
        <v>777</v>
      </c>
      <c r="T143" s="139" t="s">
        <v>778</v>
      </c>
      <c r="U143" s="139" t="s">
        <v>780</v>
      </c>
      <c r="V143" s="45" t="s">
        <v>39</v>
      </c>
      <c r="W143" s="45" t="s">
        <v>40</v>
      </c>
    </row>
    <row r="144" spans="2:23" s="45" customFormat="1" ht="12.45" customHeight="1" thickTop="1" thickBot="1" x14ac:dyDescent="0.4">
      <c r="B144" s="83">
        <v>9010020027</v>
      </c>
      <c r="C144" s="26" t="s">
        <v>18</v>
      </c>
      <c r="D144" s="42"/>
      <c r="E144" s="26"/>
      <c r="F144" s="26"/>
      <c r="G144" s="26"/>
      <c r="H144" s="26"/>
      <c r="I144" s="26"/>
      <c r="J144" s="26"/>
      <c r="K144" s="59"/>
      <c r="L144" s="84">
        <f>($U$1*(Q144*(100%+W144))*(100%+V144))</f>
        <v>0</v>
      </c>
      <c r="M144" s="84">
        <f t="shared" ref="M144:M149" si="48">($U$1*(R144*(100%+W144))*(100%+V144))</f>
        <v>0</v>
      </c>
      <c r="N144" s="84">
        <f t="shared" ref="N144:N149" si="49">($U$1*(S144*(100%+W144))*(100%+V144))</f>
        <v>0</v>
      </c>
      <c r="O144" s="84">
        <f t="shared" ref="O144:O149" si="50">($U$1*(T144*(100%+W144))*(100%+V144))</f>
        <v>0</v>
      </c>
      <c r="P144" s="84">
        <f t="shared" ref="P144:P149" si="51">($U$1*(U144*(100%+W144))*(100%+V144))</f>
        <v>0</v>
      </c>
      <c r="Q144" s="320">
        <v>3.94</v>
      </c>
      <c r="R144" s="320">
        <v>4.0999999999999996</v>
      </c>
      <c r="S144" s="320">
        <v>4.26</v>
      </c>
      <c r="T144" s="320">
        <v>4.4400000000000004</v>
      </c>
      <c r="U144" s="320">
        <v>4.6100000000000003</v>
      </c>
      <c r="V144" s="104">
        <f>143%-30%</f>
        <v>1.1299999999999999</v>
      </c>
      <c r="W144" s="360">
        <v>0</v>
      </c>
    </row>
    <row r="145" spans="2:23" s="92" customFormat="1" ht="12.45" customHeight="1" thickTop="1" thickBot="1" x14ac:dyDescent="0.4">
      <c r="B145" s="87"/>
      <c r="C145" s="88" t="s">
        <v>100</v>
      </c>
      <c r="D145" s="89"/>
      <c r="E145" s="88"/>
      <c r="F145" s="88"/>
      <c r="G145" s="88"/>
      <c r="H145" s="88"/>
      <c r="I145" s="88"/>
      <c r="J145" s="88"/>
      <c r="K145" s="90"/>
      <c r="L145" s="91">
        <f t="shared" ref="L145:L149" si="52">($U$1*(Q145*(100%+W145))*(100%+V145))</f>
        <v>0</v>
      </c>
      <c r="M145" s="91">
        <f t="shared" si="48"/>
        <v>0</v>
      </c>
      <c r="N145" s="91">
        <f t="shared" si="49"/>
        <v>0</v>
      </c>
      <c r="O145" s="91">
        <f t="shared" si="50"/>
        <v>0</v>
      </c>
      <c r="P145" s="91">
        <f t="shared" si="51"/>
        <v>0</v>
      </c>
      <c r="Q145" s="320">
        <v>4.59</v>
      </c>
      <c r="R145" s="320">
        <v>4.82</v>
      </c>
      <c r="S145" s="320">
        <v>5.05</v>
      </c>
      <c r="T145" s="320">
        <v>5.29</v>
      </c>
      <c r="U145" s="320">
        <v>5.51</v>
      </c>
      <c r="V145" s="104">
        <f>138%-30%</f>
        <v>1.0799999999999998</v>
      </c>
      <c r="W145" s="360">
        <v>0</v>
      </c>
    </row>
    <row r="146" spans="2:23" s="45" customFormat="1" ht="12.45" customHeight="1" thickTop="1" thickBot="1" x14ac:dyDescent="0.4">
      <c r="B146" s="83">
        <v>9010020026</v>
      </c>
      <c r="C146" s="26" t="s">
        <v>19</v>
      </c>
      <c r="D146" s="42"/>
      <c r="E146" s="26"/>
      <c r="F146" s="26"/>
      <c r="G146" s="26"/>
      <c r="H146" s="26"/>
      <c r="I146" s="26"/>
      <c r="J146" s="26"/>
      <c r="K146" s="59"/>
      <c r="L146" s="84">
        <f t="shared" si="52"/>
        <v>0</v>
      </c>
      <c r="M146" s="84">
        <f t="shared" si="48"/>
        <v>0</v>
      </c>
      <c r="N146" s="84">
        <f t="shared" si="49"/>
        <v>0</v>
      </c>
      <c r="O146" s="84">
        <f t="shared" si="50"/>
        <v>0</v>
      </c>
      <c r="P146" s="84">
        <f t="shared" si="51"/>
        <v>0</v>
      </c>
      <c r="Q146" s="320">
        <v>4.54</v>
      </c>
      <c r="R146" s="320">
        <v>4.78</v>
      </c>
      <c r="S146" s="320">
        <v>5.0199999999999996</v>
      </c>
      <c r="T146" s="320">
        <v>5.29</v>
      </c>
      <c r="U146" s="320">
        <v>5.53</v>
      </c>
      <c r="V146" s="104">
        <f>120%-50%</f>
        <v>0.7</v>
      </c>
      <c r="W146" s="360">
        <v>0</v>
      </c>
    </row>
    <row r="147" spans="2:23" s="45" customFormat="1" ht="12.45" customHeight="1" thickTop="1" thickBot="1" x14ac:dyDescent="0.4">
      <c r="B147" s="83">
        <v>9010020025</v>
      </c>
      <c r="C147" s="26" t="s">
        <v>20</v>
      </c>
      <c r="D147" s="42"/>
      <c r="E147" s="26"/>
      <c r="F147" s="26"/>
      <c r="G147" s="26"/>
      <c r="H147" s="26"/>
      <c r="I147" s="26"/>
      <c r="J147" s="26"/>
      <c r="K147" s="59"/>
      <c r="L147" s="84">
        <f t="shared" si="52"/>
        <v>0</v>
      </c>
      <c r="M147" s="84">
        <f t="shared" si="48"/>
        <v>0</v>
      </c>
      <c r="N147" s="84">
        <f t="shared" si="49"/>
        <v>0</v>
      </c>
      <c r="O147" s="84">
        <f t="shared" si="50"/>
        <v>0</v>
      </c>
      <c r="P147" s="84">
        <f t="shared" si="51"/>
        <v>0</v>
      </c>
      <c r="Q147" s="320">
        <v>4.97</v>
      </c>
      <c r="R147" s="320">
        <v>5.22</v>
      </c>
      <c r="S147" s="320">
        <v>5.48</v>
      </c>
      <c r="T147" s="320">
        <v>5.75</v>
      </c>
      <c r="U147" s="320">
        <v>6.01</v>
      </c>
      <c r="V147" s="104">
        <f>120%-50%</f>
        <v>0.7</v>
      </c>
      <c r="W147" s="360">
        <v>0</v>
      </c>
    </row>
    <row r="148" spans="2:23" s="92" customFormat="1" ht="12.45" customHeight="1" thickTop="1" thickBot="1" x14ac:dyDescent="0.4">
      <c r="B148" s="87"/>
      <c r="C148" s="88" t="s">
        <v>37</v>
      </c>
      <c r="D148" s="89"/>
      <c r="E148" s="88"/>
      <c r="F148" s="88"/>
      <c r="G148" s="88"/>
      <c r="H148" s="88"/>
      <c r="I148" s="88"/>
      <c r="J148" s="88"/>
      <c r="K148" s="90"/>
      <c r="L148" s="91">
        <f t="shared" si="52"/>
        <v>0</v>
      </c>
      <c r="M148" s="91">
        <f t="shared" si="48"/>
        <v>0</v>
      </c>
      <c r="N148" s="91">
        <f t="shared" si="49"/>
        <v>0</v>
      </c>
      <c r="O148" s="91">
        <f t="shared" si="50"/>
        <v>0</v>
      </c>
      <c r="P148" s="91">
        <f t="shared" si="51"/>
        <v>0</v>
      </c>
      <c r="Q148" s="320">
        <v>5.2</v>
      </c>
      <c r="R148" s="320">
        <v>5.44</v>
      </c>
      <c r="S148" s="320">
        <v>5.71</v>
      </c>
      <c r="T148" s="320">
        <v>5.95</v>
      </c>
      <c r="U148" s="320">
        <v>6.21</v>
      </c>
      <c r="V148" s="104">
        <f>135%-30%</f>
        <v>1.05</v>
      </c>
      <c r="W148" s="360">
        <v>0</v>
      </c>
    </row>
    <row r="149" spans="2:23" s="45" customFormat="1" ht="12.45" customHeight="1" thickTop="1" thickBot="1" x14ac:dyDescent="0.4">
      <c r="B149" s="83">
        <v>9010020028</v>
      </c>
      <c r="C149" s="26" t="s">
        <v>82</v>
      </c>
      <c r="D149" s="42"/>
      <c r="E149" s="26"/>
      <c r="F149" s="26"/>
      <c r="G149" s="26"/>
      <c r="H149" s="26"/>
      <c r="I149" s="26"/>
      <c r="J149" s="26"/>
      <c r="K149" s="59"/>
      <c r="L149" s="84">
        <f t="shared" si="52"/>
        <v>0</v>
      </c>
      <c r="M149" s="84">
        <f t="shared" si="48"/>
        <v>0</v>
      </c>
      <c r="N149" s="84">
        <f t="shared" si="49"/>
        <v>0</v>
      </c>
      <c r="O149" s="84">
        <f t="shared" si="50"/>
        <v>0</v>
      </c>
      <c r="P149" s="84">
        <f t="shared" si="51"/>
        <v>0</v>
      </c>
      <c r="Q149" s="320">
        <v>5.95</v>
      </c>
      <c r="R149" s="320">
        <v>6.25</v>
      </c>
      <c r="S149" s="320">
        <v>6.53</v>
      </c>
      <c r="T149" s="320">
        <v>6.84</v>
      </c>
      <c r="U149" s="320">
        <v>7.12</v>
      </c>
      <c r="V149" s="104">
        <f>131%-30%</f>
        <v>1.01</v>
      </c>
      <c r="W149" s="360">
        <v>0</v>
      </c>
    </row>
    <row r="150" spans="2:23" ht="18.45" thickTop="1" x14ac:dyDescent="0.35">
      <c r="U150" s="45"/>
    </row>
    <row r="151" spans="2:23" x14ac:dyDescent="0.35">
      <c r="B151" s="17" t="s">
        <v>576</v>
      </c>
    </row>
    <row r="152" spans="2:23" x14ac:dyDescent="0.35">
      <c r="N152" s="45"/>
      <c r="O152" s="45"/>
      <c r="P152" s="45"/>
      <c r="Q152" s="45"/>
      <c r="R152" s="45"/>
    </row>
    <row r="153" spans="2:23" s="45" customFormat="1" x14ac:dyDescent="0.35">
      <c r="B153" s="26" t="s">
        <v>27</v>
      </c>
      <c r="D153" s="26" t="s">
        <v>29</v>
      </c>
      <c r="E153" s="28"/>
      <c r="F153" s="27"/>
      <c r="G153" s="74"/>
      <c r="H153" s="74"/>
      <c r="I153" s="74"/>
      <c r="J153" s="74"/>
      <c r="K153" s="75"/>
      <c r="L153" s="76">
        <v>901</v>
      </c>
      <c r="M153" s="76">
        <f>L154+1</f>
        <v>1001</v>
      </c>
      <c r="N153" s="76">
        <f>M154+1</f>
        <v>1101</v>
      </c>
      <c r="O153" s="76">
        <f>N154+1</f>
        <v>1201</v>
      </c>
      <c r="P153" s="76">
        <f>O154+1</f>
        <v>1301</v>
      </c>
      <c r="Q153" s="74"/>
      <c r="S153" s="176" t="s">
        <v>22</v>
      </c>
      <c r="T153" s="53">
        <f>T3</f>
        <v>99</v>
      </c>
      <c r="U153" s="19"/>
    </row>
    <row r="154" spans="2:23" s="45" customFormat="1" ht="11.6" x14ac:dyDescent="0.35">
      <c r="D154" s="27"/>
      <c r="E154" s="28"/>
      <c r="F154" s="77"/>
      <c r="G154" s="48"/>
      <c r="H154" s="48"/>
      <c r="I154" s="48"/>
      <c r="J154" s="48"/>
      <c r="K154" s="78" t="s">
        <v>26</v>
      </c>
      <c r="L154" s="79">
        <f>L153+$T$153</f>
        <v>1000</v>
      </c>
      <c r="M154" s="79">
        <f>M153+$T$153</f>
        <v>1100</v>
      </c>
      <c r="N154" s="79">
        <f>N153+$T$153</f>
        <v>1200</v>
      </c>
      <c r="O154" s="79">
        <f>O153+$T$153</f>
        <v>1300</v>
      </c>
      <c r="P154" s="79">
        <f>P153+$T$153</f>
        <v>1400</v>
      </c>
      <c r="Q154" s="48"/>
    </row>
    <row r="155" spans="2:23" s="45" customFormat="1" ht="12" thickBot="1" x14ac:dyDescent="0.4">
      <c r="D155" s="27"/>
      <c r="E155" s="28"/>
      <c r="F155" s="27"/>
      <c r="G155" s="27"/>
      <c r="H155" s="27"/>
      <c r="I155" s="27"/>
      <c r="J155" s="27"/>
      <c r="K155" s="80"/>
      <c r="L155" s="81"/>
      <c r="M155" s="35"/>
      <c r="N155" s="59"/>
      <c r="O155" s="26"/>
      <c r="P155" s="279"/>
      <c r="Q155" s="139" t="s">
        <v>776</v>
      </c>
      <c r="R155" s="139" t="s">
        <v>779</v>
      </c>
      <c r="S155" s="139" t="s">
        <v>777</v>
      </c>
      <c r="T155" s="139" t="s">
        <v>778</v>
      </c>
      <c r="U155" s="139" t="s">
        <v>780</v>
      </c>
      <c r="V155" s="45" t="s">
        <v>39</v>
      </c>
      <c r="W155" s="45" t="s">
        <v>40</v>
      </c>
    </row>
    <row r="156" spans="2:23" s="45" customFormat="1" ht="12.45" thickTop="1" thickBot="1" x14ac:dyDescent="0.4">
      <c r="B156" s="83">
        <v>9010020030</v>
      </c>
      <c r="C156" s="26" t="s">
        <v>18</v>
      </c>
      <c r="D156" s="42"/>
      <c r="E156" s="26" t="s">
        <v>80</v>
      </c>
      <c r="F156" s="26"/>
      <c r="G156" s="26"/>
      <c r="H156" s="26"/>
      <c r="I156" s="26"/>
      <c r="J156" s="26"/>
      <c r="K156" s="59"/>
      <c r="L156" s="84">
        <f>($U$1*Q156)*(100%+V156)*(100%+W156)</f>
        <v>0</v>
      </c>
      <c r="M156" s="84">
        <f>($U$1*R156)*(100%+V156)*(100%+W156)</f>
        <v>0</v>
      </c>
      <c r="N156" s="84">
        <f>($U$1*S156)*(100%+V156)*(100%+W156)</f>
        <v>0</v>
      </c>
      <c r="O156" s="84">
        <f>($U$1*T156)*(100%+V156)*(100%+W156)</f>
        <v>0</v>
      </c>
      <c r="P156" s="84">
        <f>($U$1*U156)*(100%+V156)*(100%+W156)</f>
        <v>0</v>
      </c>
      <c r="Q156" s="320">
        <v>4.29</v>
      </c>
      <c r="R156" s="320">
        <v>4.5</v>
      </c>
      <c r="S156" s="320">
        <v>4.7300000000000004</v>
      </c>
      <c r="T156" s="320">
        <v>4.9400000000000004</v>
      </c>
      <c r="U156" s="320">
        <v>5.15</v>
      </c>
      <c r="V156" s="104">
        <f>95%-30%</f>
        <v>0.64999999999999991</v>
      </c>
      <c r="W156" s="360">
        <v>0</v>
      </c>
    </row>
    <row r="157" spans="2:23" s="45" customFormat="1" ht="12.45" thickTop="1" thickBot="1" x14ac:dyDescent="0.4">
      <c r="B157" s="83">
        <v>9010020029</v>
      </c>
      <c r="C157" s="26" t="s">
        <v>19</v>
      </c>
      <c r="D157" s="42"/>
      <c r="E157" s="26" t="s">
        <v>80</v>
      </c>
      <c r="F157" s="26"/>
      <c r="G157" s="26"/>
      <c r="H157" s="26"/>
      <c r="I157" s="26"/>
      <c r="J157" s="26"/>
      <c r="K157" s="59"/>
      <c r="L157" s="84">
        <f>($U$1*Q157)*(100%+V157)*(100%+W157)</f>
        <v>0</v>
      </c>
      <c r="M157" s="84">
        <f>($U$1*R157)*(100%+V157)*(100%+W157)</f>
        <v>0</v>
      </c>
      <c r="N157" s="84">
        <f>($U$1*S157)*(100%+V157)*(100%+W157)</f>
        <v>0</v>
      </c>
      <c r="O157" s="84">
        <f>($U$1*T157)*(100%+V157)*(100%+W157)</f>
        <v>0</v>
      </c>
      <c r="P157" s="84">
        <f>($U$1*U157)*(100%+V157)*(100%+W157)</f>
        <v>0</v>
      </c>
      <c r="Q157" s="320">
        <v>4.8899999999999997</v>
      </c>
      <c r="R157" s="320">
        <v>5.13</v>
      </c>
      <c r="S157" s="320">
        <v>5.38</v>
      </c>
      <c r="T157" s="320">
        <v>5.62</v>
      </c>
      <c r="U157" s="320">
        <v>5.87</v>
      </c>
      <c r="V157" s="104">
        <f>128%-30%</f>
        <v>0.98</v>
      </c>
      <c r="W157" s="360">
        <v>0</v>
      </c>
    </row>
    <row r="158" spans="2:23" s="45" customFormat="1" ht="12.45" customHeight="1" thickTop="1" thickBot="1" x14ac:dyDescent="0.4">
      <c r="B158" s="83">
        <v>9010020031</v>
      </c>
      <c r="C158" s="26" t="s">
        <v>82</v>
      </c>
      <c r="D158" s="42"/>
      <c r="E158" s="26" t="s">
        <v>80</v>
      </c>
      <c r="F158" s="26"/>
      <c r="G158" s="26"/>
      <c r="H158" s="26"/>
      <c r="I158" s="26"/>
      <c r="J158" s="26"/>
      <c r="K158" s="59"/>
      <c r="L158" s="84">
        <f>($U$1*Q158)*(100%+V158)*(100%+W158)</f>
        <v>0</v>
      </c>
      <c r="M158" s="84">
        <f>($U$1*R158)*(100%+V158)*(100%+W158)</f>
        <v>0</v>
      </c>
      <c r="N158" s="84">
        <f>($U$1*S158)*(100%+V158)*(100%+W158)</f>
        <v>0</v>
      </c>
      <c r="O158" s="84">
        <f>($U$1*T158)*(100%+V158)*(100%+W158)</f>
        <v>0</v>
      </c>
      <c r="P158" s="84">
        <f>($U$1*U158)*(100%+V158)*(100%+W158)</f>
        <v>0</v>
      </c>
      <c r="Q158" s="320">
        <v>6.85</v>
      </c>
      <c r="R158" s="320">
        <v>7.12</v>
      </c>
      <c r="S158" s="320">
        <v>7.4</v>
      </c>
      <c r="T158" s="320">
        <v>7.67</v>
      </c>
      <c r="U158" s="320">
        <v>7.95</v>
      </c>
      <c r="V158" s="104">
        <f>101%-30%</f>
        <v>0.71</v>
      </c>
      <c r="W158" s="360">
        <v>0</v>
      </c>
    </row>
    <row r="159" spans="2:23" s="45" customFormat="1" ht="7.5" customHeight="1" thickTop="1" x14ac:dyDescent="0.35">
      <c r="B159" s="83"/>
      <c r="C159" s="26"/>
      <c r="D159" s="42"/>
      <c r="E159" s="26"/>
      <c r="F159" s="26"/>
      <c r="G159" s="26"/>
      <c r="H159" s="26"/>
      <c r="I159" s="26"/>
      <c r="J159" s="26"/>
      <c r="K159" s="26"/>
      <c r="L159" s="93"/>
      <c r="M159" s="93"/>
      <c r="N159" s="93"/>
      <c r="O159" s="93"/>
      <c r="P159" s="93"/>
      <c r="Q159" s="85"/>
      <c r="R159" s="85"/>
      <c r="S159" s="86"/>
      <c r="T159" s="94"/>
      <c r="V159" s="95"/>
    </row>
    <row r="160" spans="2:23" s="45" customFormat="1" ht="7.5" customHeight="1" x14ac:dyDescent="0.35">
      <c r="B160" s="26"/>
      <c r="C160" s="42"/>
      <c r="D160" s="26"/>
      <c r="E160" s="26"/>
      <c r="F160" s="26"/>
      <c r="G160" s="26"/>
      <c r="H160" s="26"/>
      <c r="I160" s="26"/>
      <c r="J160" s="26"/>
      <c r="K160" s="26"/>
      <c r="L160" s="26"/>
      <c r="N160" s="19"/>
      <c r="O160" s="19"/>
      <c r="P160" s="19"/>
      <c r="Q160" s="19"/>
      <c r="R160" s="19"/>
    </row>
    <row r="161" spans="2:21" x14ac:dyDescent="0.35">
      <c r="B161" s="17" t="s">
        <v>93</v>
      </c>
      <c r="L161" s="20"/>
      <c r="U161" s="45"/>
    </row>
    <row r="162" spans="2:21" x14ac:dyDescent="0.35">
      <c r="N162" s="45"/>
      <c r="O162" s="45"/>
      <c r="P162" s="45"/>
      <c r="Q162" s="45"/>
      <c r="R162" s="45"/>
    </row>
    <row r="163" spans="2:21" s="45" customFormat="1" x14ac:dyDescent="0.35">
      <c r="B163" s="26" t="s">
        <v>27</v>
      </c>
      <c r="D163" s="26" t="s">
        <v>29</v>
      </c>
      <c r="E163" s="27"/>
      <c r="F163" s="23"/>
      <c r="G163" s="67">
        <v>601</v>
      </c>
      <c r="H163" s="76">
        <f t="shared" ref="H163:P163" si="53">G164+1</f>
        <v>651</v>
      </c>
      <c r="I163" s="76">
        <f t="shared" si="53"/>
        <v>701</v>
      </c>
      <c r="J163" s="76">
        <f t="shared" si="53"/>
        <v>751</v>
      </c>
      <c r="K163" s="76">
        <f t="shared" si="53"/>
        <v>801</v>
      </c>
      <c r="L163" s="76">
        <f t="shared" si="53"/>
        <v>851</v>
      </c>
      <c r="M163" s="76">
        <f t="shared" si="53"/>
        <v>901</v>
      </c>
      <c r="N163" s="76">
        <f t="shared" si="53"/>
        <v>951</v>
      </c>
      <c r="O163" s="76">
        <f t="shared" si="53"/>
        <v>1001</v>
      </c>
      <c r="P163" s="76">
        <f t="shared" si="53"/>
        <v>1051</v>
      </c>
      <c r="S163" s="176" t="s">
        <v>22</v>
      </c>
      <c r="T163" s="53">
        <f>W1</f>
        <v>49</v>
      </c>
      <c r="U163" s="19"/>
    </row>
    <row r="164" spans="2:21" s="45" customFormat="1" ht="11.6" x14ac:dyDescent="0.35">
      <c r="C164" s="27"/>
      <c r="D164" s="28"/>
      <c r="E164" s="27"/>
      <c r="F164" s="23" t="s">
        <v>26</v>
      </c>
      <c r="G164" s="96">
        <f t="shared" ref="G164:P164" si="54">G163+$T$163</f>
        <v>650</v>
      </c>
      <c r="H164" s="96">
        <f t="shared" si="54"/>
        <v>700</v>
      </c>
      <c r="I164" s="96">
        <f t="shared" si="54"/>
        <v>750</v>
      </c>
      <c r="J164" s="96">
        <f t="shared" si="54"/>
        <v>800</v>
      </c>
      <c r="K164" s="96">
        <f t="shared" si="54"/>
        <v>850</v>
      </c>
      <c r="L164" s="96">
        <f t="shared" si="54"/>
        <v>900</v>
      </c>
      <c r="M164" s="96">
        <f t="shared" si="54"/>
        <v>950</v>
      </c>
      <c r="N164" s="96">
        <f t="shared" si="54"/>
        <v>1000</v>
      </c>
      <c r="O164" s="96">
        <f t="shared" si="54"/>
        <v>1050</v>
      </c>
      <c r="P164" s="96">
        <f t="shared" si="54"/>
        <v>1100</v>
      </c>
    </row>
    <row r="165" spans="2:21" s="45" customFormat="1" ht="12" thickBot="1" x14ac:dyDescent="0.4">
      <c r="C165" s="27"/>
      <c r="D165" s="28"/>
      <c r="E165" s="27"/>
      <c r="F165" s="27"/>
      <c r="G165" s="97"/>
      <c r="H165" s="97"/>
      <c r="I165" s="98"/>
      <c r="J165" s="99"/>
      <c r="K165" s="98"/>
      <c r="L165" s="98"/>
      <c r="M165" s="98"/>
      <c r="N165" s="98"/>
      <c r="O165" s="278"/>
      <c r="P165" s="280"/>
      <c r="Q165" s="45" t="s">
        <v>95</v>
      </c>
      <c r="S165" s="21"/>
      <c r="T165" s="45" t="s">
        <v>39</v>
      </c>
    </row>
    <row r="166" spans="2:21" s="92" customFormat="1" ht="12.45" customHeight="1" thickTop="1" thickBot="1" x14ac:dyDescent="0.4">
      <c r="B166" s="100"/>
      <c r="C166" s="100" t="s">
        <v>577</v>
      </c>
      <c r="D166" s="100"/>
      <c r="E166" s="100"/>
      <c r="F166" s="88"/>
      <c r="G166" s="91">
        <f t="shared" ref="G166:O166" si="55">$U$1*($Q$166*G164/100)/(100%-$T$166)*2</f>
        <v>0</v>
      </c>
      <c r="H166" s="91">
        <f t="shared" si="55"/>
        <v>0</v>
      </c>
      <c r="I166" s="91">
        <f t="shared" si="55"/>
        <v>0</v>
      </c>
      <c r="J166" s="91">
        <f t="shared" si="55"/>
        <v>0</v>
      </c>
      <c r="K166" s="91">
        <f t="shared" si="55"/>
        <v>0</v>
      </c>
      <c r="L166" s="91">
        <f t="shared" si="55"/>
        <v>0</v>
      </c>
      <c r="M166" s="91">
        <f t="shared" si="55"/>
        <v>0</v>
      </c>
      <c r="N166" s="91">
        <f t="shared" si="55"/>
        <v>0</v>
      </c>
      <c r="O166" s="91">
        <f t="shared" si="55"/>
        <v>0</v>
      </c>
      <c r="P166" s="91">
        <f>$U$1*($Q$166*P164/100)/(100%-$T$166)*2</f>
        <v>0</v>
      </c>
      <c r="Q166" s="101">
        <f>(10.8/2*0.2)</f>
        <v>1.08</v>
      </c>
      <c r="T166" s="274">
        <v>0.45</v>
      </c>
    </row>
    <row r="167" spans="2:21" s="45" customFormat="1" ht="12.45" customHeight="1" thickTop="1" thickBot="1" x14ac:dyDescent="0.4">
      <c r="B167" s="83">
        <v>9010020005</v>
      </c>
      <c r="C167" s="39" t="s">
        <v>578</v>
      </c>
      <c r="D167" s="39"/>
      <c r="E167" s="26"/>
      <c r="F167" s="26"/>
      <c r="G167" s="102">
        <f t="shared" ref="G167:N167" si="56">$U$1*($Q$167*G164/100)/(100%-$T$167)*2</f>
        <v>0</v>
      </c>
      <c r="H167" s="102">
        <f t="shared" si="56"/>
        <v>0</v>
      </c>
      <c r="I167" s="102">
        <f t="shared" si="56"/>
        <v>0</v>
      </c>
      <c r="J167" s="102">
        <f t="shared" si="56"/>
        <v>0</v>
      </c>
      <c r="K167" s="102">
        <f t="shared" si="56"/>
        <v>0</v>
      </c>
      <c r="L167" s="102">
        <f t="shared" si="56"/>
        <v>0</v>
      </c>
      <c r="M167" s="102">
        <f t="shared" si="56"/>
        <v>0</v>
      </c>
      <c r="N167" s="102">
        <f t="shared" si="56"/>
        <v>0</v>
      </c>
      <c r="O167" s="102">
        <f>$U$1*($Q$167*O164/100)/(100%-$T$167)*2</f>
        <v>0</v>
      </c>
      <c r="P167" s="102">
        <f>$U$1*($Q$167*P164/100)/(100%-$T$167)*2</f>
        <v>0</v>
      </c>
      <c r="Q167" s="101">
        <f>(10.8/2*0.25)</f>
        <v>1.35</v>
      </c>
      <c r="T167" s="274">
        <v>0.43</v>
      </c>
    </row>
    <row r="168" spans="2:21" s="92" customFormat="1" ht="12.45" customHeight="1" thickTop="1" thickBot="1" x14ac:dyDescent="0.4">
      <c r="B168" s="87"/>
      <c r="C168" s="100" t="s">
        <v>579</v>
      </c>
      <c r="D168" s="100"/>
      <c r="E168" s="88"/>
      <c r="F168" s="88"/>
      <c r="G168" s="91">
        <f t="shared" ref="G168:N168" si="57">$U$1*($Q$168*G164/100)/(100%-$T$168)*2</f>
        <v>0</v>
      </c>
      <c r="H168" s="91">
        <f t="shared" si="57"/>
        <v>0</v>
      </c>
      <c r="I168" s="91">
        <f t="shared" si="57"/>
        <v>0</v>
      </c>
      <c r="J168" s="91">
        <f t="shared" si="57"/>
        <v>0</v>
      </c>
      <c r="K168" s="91">
        <f t="shared" si="57"/>
        <v>0</v>
      </c>
      <c r="L168" s="91">
        <f t="shared" si="57"/>
        <v>0</v>
      </c>
      <c r="M168" s="91">
        <f t="shared" si="57"/>
        <v>0</v>
      </c>
      <c r="N168" s="91">
        <f t="shared" si="57"/>
        <v>0</v>
      </c>
      <c r="O168" s="91">
        <f>$U$1*($Q$168*O164/100)/(100%-$T$168)*2</f>
        <v>0</v>
      </c>
      <c r="P168" s="91">
        <f>$U$1*($Q$168*P164/100)/(100%-$T$168)*2</f>
        <v>0</v>
      </c>
      <c r="Q168" s="101">
        <f>(10.8/2*0.28)</f>
        <v>1.5120000000000002</v>
      </c>
      <c r="T168" s="274">
        <v>0.43</v>
      </c>
    </row>
    <row r="169" spans="2:21" s="92" customFormat="1" ht="12.45" customHeight="1" thickTop="1" thickBot="1" x14ac:dyDescent="0.4">
      <c r="B169" s="103">
        <v>9010020033</v>
      </c>
      <c r="C169" s="39" t="s">
        <v>580</v>
      </c>
      <c r="D169" s="39"/>
      <c r="E169" s="26"/>
      <c r="F169" s="26"/>
      <c r="G169" s="102">
        <f t="shared" ref="G169:N169" si="58">$U$1*($Q$169*G164/100)/(100%-$T$169)*2</f>
        <v>0</v>
      </c>
      <c r="H169" s="102">
        <f t="shared" si="58"/>
        <v>0</v>
      </c>
      <c r="I169" s="102">
        <f t="shared" si="58"/>
        <v>0</v>
      </c>
      <c r="J169" s="102">
        <f t="shared" si="58"/>
        <v>0</v>
      </c>
      <c r="K169" s="102">
        <f t="shared" si="58"/>
        <v>0</v>
      </c>
      <c r="L169" s="102">
        <f t="shared" si="58"/>
        <v>0</v>
      </c>
      <c r="M169" s="102">
        <f t="shared" si="58"/>
        <v>0</v>
      </c>
      <c r="N169" s="102">
        <f t="shared" si="58"/>
        <v>0</v>
      </c>
      <c r="O169" s="102">
        <f>$U$1*($Q$169*O164/100)/(100%-$T$169)*2</f>
        <v>0</v>
      </c>
      <c r="P169" s="102">
        <f>$U$1*($Q$169*P164/100)/(100%-$T$169)*2</f>
        <v>0</v>
      </c>
      <c r="Q169" s="101">
        <f>(10.8/2*0.33)</f>
        <v>1.7820000000000003</v>
      </c>
      <c r="T169" s="274">
        <v>0.29799999999999999</v>
      </c>
    </row>
    <row r="170" spans="2:21" s="45" customFormat="1" ht="12.45" customHeight="1" thickTop="1" thickBot="1" x14ac:dyDescent="0.4">
      <c r="B170" s="83">
        <v>9010020004</v>
      </c>
      <c r="C170" s="39" t="s">
        <v>581</v>
      </c>
      <c r="D170" s="39"/>
      <c r="E170" s="26"/>
      <c r="F170" s="26"/>
      <c r="G170" s="102">
        <f t="shared" ref="G170:N170" si="59">$U$1*($Q$170*G164/100)/(100%-$T$170)*2</f>
        <v>0</v>
      </c>
      <c r="H170" s="102">
        <f t="shared" si="59"/>
        <v>0</v>
      </c>
      <c r="I170" s="102">
        <f t="shared" si="59"/>
        <v>0</v>
      </c>
      <c r="J170" s="102">
        <f t="shared" si="59"/>
        <v>0</v>
      </c>
      <c r="K170" s="102">
        <f t="shared" si="59"/>
        <v>0</v>
      </c>
      <c r="L170" s="102">
        <f t="shared" si="59"/>
        <v>0</v>
      </c>
      <c r="M170" s="102">
        <f t="shared" si="59"/>
        <v>0</v>
      </c>
      <c r="N170" s="102">
        <f t="shared" si="59"/>
        <v>0</v>
      </c>
      <c r="O170" s="102">
        <f>$U$1*($Q$170*O164/100)/(100%-$T$170)*2</f>
        <v>0</v>
      </c>
      <c r="P170" s="102">
        <f>$U$1*($Q$170*P164/100)/(100%-$T$170)*2</f>
        <v>0</v>
      </c>
      <c r="Q170" s="101">
        <f>(10.8/2*0.33)</f>
        <v>1.7820000000000003</v>
      </c>
      <c r="T170" s="274">
        <v>0.3</v>
      </c>
    </row>
    <row r="171" spans="2:21" s="45" customFormat="1" ht="12.45" customHeight="1" thickTop="1" thickBot="1" x14ac:dyDescent="0.4">
      <c r="B171" s="83">
        <v>9010020006</v>
      </c>
      <c r="C171" s="39" t="s">
        <v>582</v>
      </c>
      <c r="D171" s="39"/>
      <c r="E171" s="26"/>
      <c r="F171" s="26"/>
      <c r="G171" s="102">
        <f t="shared" ref="G171:N171" si="60">$U$1*($Q$171*G164/100)/(100%-$T$171)*2</f>
        <v>0</v>
      </c>
      <c r="H171" s="102">
        <f t="shared" si="60"/>
        <v>0</v>
      </c>
      <c r="I171" s="102">
        <f t="shared" si="60"/>
        <v>0</v>
      </c>
      <c r="J171" s="102">
        <f t="shared" si="60"/>
        <v>0</v>
      </c>
      <c r="K171" s="102">
        <f t="shared" si="60"/>
        <v>0</v>
      </c>
      <c r="L171" s="102">
        <f t="shared" si="60"/>
        <v>0</v>
      </c>
      <c r="M171" s="102">
        <f t="shared" si="60"/>
        <v>0</v>
      </c>
      <c r="N171" s="102">
        <f t="shared" si="60"/>
        <v>0</v>
      </c>
      <c r="O171" s="102">
        <f>$U$1*($Q$171*O164/100)/(100%-$T$171)*2</f>
        <v>0</v>
      </c>
      <c r="P171" s="102">
        <f>$U$1*($Q$171*P164/100)/(100%-$T$171)*2</f>
        <v>0</v>
      </c>
      <c r="Q171" s="101">
        <f>(10.8/2*0.4)</f>
        <v>2.16</v>
      </c>
      <c r="T171" s="274">
        <v>0.43</v>
      </c>
    </row>
    <row r="172" spans="2:21" s="45" customFormat="1" ht="6.45" customHeight="1" thickTop="1" x14ac:dyDescent="0.35">
      <c r="B172" s="83"/>
      <c r="C172" s="39"/>
      <c r="D172" s="39"/>
      <c r="E172" s="26"/>
      <c r="F172" s="26"/>
      <c r="G172" s="102"/>
      <c r="H172" s="102"/>
      <c r="I172" s="102"/>
      <c r="J172" s="102"/>
      <c r="K172" s="102"/>
      <c r="L172" s="102"/>
      <c r="M172" s="102"/>
      <c r="N172" s="102"/>
      <c r="O172" s="106"/>
      <c r="P172" s="282"/>
      <c r="Q172" s="101"/>
      <c r="T172" s="260"/>
    </row>
    <row r="173" spans="2:21" s="45" customFormat="1" ht="6.45" customHeight="1" thickBot="1" x14ac:dyDescent="0.4">
      <c r="B173" s="83"/>
      <c r="C173" s="39"/>
      <c r="D173" s="39"/>
      <c r="E173" s="26"/>
      <c r="F173" s="26"/>
      <c r="G173" s="91"/>
      <c r="H173" s="91"/>
      <c r="I173" s="91"/>
      <c r="J173" s="91"/>
      <c r="K173" s="91"/>
      <c r="L173" s="91"/>
      <c r="M173" s="91"/>
      <c r="N173" s="91"/>
      <c r="O173" s="111"/>
      <c r="P173" s="281"/>
      <c r="Q173" s="101"/>
      <c r="T173" s="261"/>
    </row>
    <row r="174" spans="2:21" s="92" customFormat="1" ht="12.45" customHeight="1" thickTop="1" thickBot="1" x14ac:dyDescent="0.4">
      <c r="B174" s="87"/>
      <c r="C174" s="100" t="s">
        <v>583</v>
      </c>
      <c r="D174" s="100"/>
      <c r="E174" s="88"/>
      <c r="F174" s="88"/>
      <c r="G174" s="91">
        <f t="shared" ref="G174:N174" si="61">$U$1*($Q$174*G164/100)/(100%-$T$174)*2</f>
        <v>0</v>
      </c>
      <c r="H174" s="91">
        <f t="shared" si="61"/>
        <v>0</v>
      </c>
      <c r="I174" s="91">
        <f t="shared" si="61"/>
        <v>0</v>
      </c>
      <c r="J174" s="91">
        <f t="shared" si="61"/>
        <v>0</v>
      </c>
      <c r="K174" s="91">
        <f t="shared" si="61"/>
        <v>0</v>
      </c>
      <c r="L174" s="91">
        <f t="shared" si="61"/>
        <v>0</v>
      </c>
      <c r="M174" s="91">
        <f t="shared" si="61"/>
        <v>0</v>
      </c>
      <c r="N174" s="91">
        <f t="shared" si="61"/>
        <v>0</v>
      </c>
      <c r="O174" s="91">
        <f>$U$1*($Q$174*O164/100)/(100%-$T$174)*2</f>
        <v>0</v>
      </c>
      <c r="P174" s="91">
        <f>$U$1*($Q$174*P164/100)/(100%-$T$174)*2</f>
        <v>0</v>
      </c>
      <c r="Q174" s="101">
        <f>(10.8/2*0.2)</f>
        <v>1.08</v>
      </c>
      <c r="T174" s="104">
        <f t="shared" ref="T174:T179" si="62">T166</f>
        <v>0.45</v>
      </c>
    </row>
    <row r="175" spans="2:21" s="45" customFormat="1" ht="12.45" customHeight="1" thickTop="1" thickBot="1" x14ac:dyDescent="0.4">
      <c r="B175" s="83">
        <v>9010020002</v>
      </c>
      <c r="C175" s="39" t="s">
        <v>584</v>
      </c>
      <c r="D175" s="39"/>
      <c r="E175" s="26"/>
      <c r="F175" s="26"/>
      <c r="G175" s="102">
        <f t="shared" ref="G175:N175" si="63">$U$1*($Q$175*G164/100)/(100%-$T$175)*2</f>
        <v>0</v>
      </c>
      <c r="H175" s="102">
        <f t="shared" si="63"/>
        <v>0</v>
      </c>
      <c r="I175" s="102">
        <f t="shared" si="63"/>
        <v>0</v>
      </c>
      <c r="J175" s="102">
        <f t="shared" si="63"/>
        <v>0</v>
      </c>
      <c r="K175" s="102">
        <f t="shared" si="63"/>
        <v>0</v>
      </c>
      <c r="L175" s="102">
        <f t="shared" si="63"/>
        <v>0</v>
      </c>
      <c r="M175" s="102">
        <f t="shared" si="63"/>
        <v>0</v>
      </c>
      <c r="N175" s="102">
        <f t="shared" si="63"/>
        <v>0</v>
      </c>
      <c r="O175" s="102">
        <f>$U$1*($Q$175*O164/100)/(100%-$T$175)*2</f>
        <v>0</v>
      </c>
      <c r="P175" s="102">
        <f>$U$1*($Q$175*P164/100)/(100%-$T$175)*2</f>
        <v>0</v>
      </c>
      <c r="Q175" s="101">
        <f>(10.8/2*0.25)</f>
        <v>1.35</v>
      </c>
      <c r="T175" s="104">
        <f t="shared" si="62"/>
        <v>0.43</v>
      </c>
    </row>
    <row r="176" spans="2:21" s="92" customFormat="1" ht="12.45" customHeight="1" thickTop="1" thickBot="1" x14ac:dyDescent="0.4">
      <c r="B176" s="87"/>
      <c r="C176" s="100" t="s">
        <v>94</v>
      </c>
      <c r="D176" s="100"/>
      <c r="E176" s="88"/>
      <c r="F176" s="88"/>
      <c r="G176" s="91">
        <f t="shared" ref="G176:N176" si="64">$U$1*($Q$176*G164/100)/(100%-$T$176)*2</f>
        <v>0</v>
      </c>
      <c r="H176" s="91">
        <f t="shared" si="64"/>
        <v>0</v>
      </c>
      <c r="I176" s="91">
        <f t="shared" si="64"/>
        <v>0</v>
      </c>
      <c r="J176" s="91">
        <f t="shared" si="64"/>
        <v>0</v>
      </c>
      <c r="K176" s="91">
        <f t="shared" si="64"/>
        <v>0</v>
      </c>
      <c r="L176" s="91">
        <f t="shared" si="64"/>
        <v>0</v>
      </c>
      <c r="M176" s="91">
        <f t="shared" si="64"/>
        <v>0</v>
      </c>
      <c r="N176" s="91">
        <f t="shared" si="64"/>
        <v>0</v>
      </c>
      <c r="O176" s="91">
        <f>$U$1*($Q$176*O164/100)/(100%-$T$176)*2</f>
        <v>0</v>
      </c>
      <c r="P176" s="91">
        <f>$U$1*($Q$176*P164/100)/(100%-$T$176)*2</f>
        <v>0</v>
      </c>
      <c r="Q176" s="101">
        <f>(10.8/2*0.28)</f>
        <v>1.5120000000000002</v>
      </c>
      <c r="T176" s="104">
        <f t="shared" si="62"/>
        <v>0.43</v>
      </c>
    </row>
    <row r="177" spans="2:21" s="92" customFormat="1" ht="12.45" customHeight="1" thickTop="1" thickBot="1" x14ac:dyDescent="0.4">
      <c r="B177" s="103">
        <v>9010020034</v>
      </c>
      <c r="C177" s="39" t="s">
        <v>585</v>
      </c>
      <c r="D177" s="39"/>
      <c r="E177" s="26"/>
      <c r="F177" s="26"/>
      <c r="G177" s="102">
        <f t="shared" ref="G177:N177" si="65">$U$1*($Q$177*G164/100)/(100%-$T$177)*2</f>
        <v>0</v>
      </c>
      <c r="H177" s="102">
        <f t="shared" si="65"/>
        <v>0</v>
      </c>
      <c r="I177" s="102">
        <f t="shared" si="65"/>
        <v>0</v>
      </c>
      <c r="J177" s="102">
        <f t="shared" si="65"/>
        <v>0</v>
      </c>
      <c r="K177" s="102">
        <f t="shared" si="65"/>
        <v>0</v>
      </c>
      <c r="L177" s="102">
        <f t="shared" si="65"/>
        <v>0</v>
      </c>
      <c r="M177" s="102">
        <f t="shared" si="65"/>
        <v>0</v>
      </c>
      <c r="N177" s="102">
        <f t="shared" si="65"/>
        <v>0</v>
      </c>
      <c r="O177" s="102">
        <f>$U$1*($Q$177*O164/100)/(100%-$T$177)*2</f>
        <v>0</v>
      </c>
      <c r="P177" s="102">
        <f>$U$1*($Q$177*P164/100)/(100%-$T$177)*2</f>
        <v>0</v>
      </c>
      <c r="Q177" s="101">
        <f>(10.8/2*0.33)</f>
        <v>1.7820000000000003</v>
      </c>
      <c r="T177" s="104">
        <f t="shared" si="62"/>
        <v>0.29799999999999999</v>
      </c>
    </row>
    <row r="178" spans="2:21" s="45" customFormat="1" ht="12.45" customHeight="1" thickTop="1" thickBot="1" x14ac:dyDescent="0.4">
      <c r="B178" s="83">
        <v>9010020001</v>
      </c>
      <c r="C178" s="39" t="s">
        <v>586</v>
      </c>
      <c r="D178" s="39"/>
      <c r="E178" s="26"/>
      <c r="F178" s="26"/>
      <c r="G178" s="102">
        <f t="shared" ref="G178:N178" si="66">$U$1*($Q$178*G164/100)/(100%-$T$178)*2</f>
        <v>0</v>
      </c>
      <c r="H178" s="102">
        <f t="shared" si="66"/>
        <v>0</v>
      </c>
      <c r="I178" s="102">
        <f t="shared" si="66"/>
        <v>0</v>
      </c>
      <c r="J178" s="102">
        <f t="shared" si="66"/>
        <v>0</v>
      </c>
      <c r="K178" s="102">
        <f t="shared" si="66"/>
        <v>0</v>
      </c>
      <c r="L178" s="102">
        <f t="shared" si="66"/>
        <v>0</v>
      </c>
      <c r="M178" s="102">
        <f t="shared" si="66"/>
        <v>0</v>
      </c>
      <c r="N178" s="102">
        <f t="shared" si="66"/>
        <v>0</v>
      </c>
      <c r="O178" s="102">
        <f>$U$1*($Q$178*O164/100)/(100%-$T$178)*2</f>
        <v>0</v>
      </c>
      <c r="P178" s="102">
        <f>$U$1*($Q$178*P164/100)/(100%-$T$178)*2</f>
        <v>0</v>
      </c>
      <c r="Q178" s="101">
        <f>(10.8/2*0.33)</f>
        <v>1.7820000000000003</v>
      </c>
      <c r="T178" s="104">
        <f t="shared" si="62"/>
        <v>0.3</v>
      </c>
    </row>
    <row r="179" spans="2:21" s="45" customFormat="1" ht="12.45" customHeight="1" thickTop="1" thickBot="1" x14ac:dyDescent="0.4">
      <c r="B179" s="83">
        <v>9010020003</v>
      </c>
      <c r="C179" s="39" t="s">
        <v>587</v>
      </c>
      <c r="D179" s="39"/>
      <c r="E179" s="26"/>
      <c r="F179" s="26"/>
      <c r="G179" s="102">
        <f t="shared" ref="G179:N179" si="67">$U$1*($Q$179*G164/100)/(100%-$T$179)*2</f>
        <v>0</v>
      </c>
      <c r="H179" s="102">
        <f t="shared" si="67"/>
        <v>0</v>
      </c>
      <c r="I179" s="102">
        <f t="shared" si="67"/>
        <v>0</v>
      </c>
      <c r="J179" s="102">
        <f t="shared" si="67"/>
        <v>0</v>
      </c>
      <c r="K179" s="102">
        <f t="shared" si="67"/>
        <v>0</v>
      </c>
      <c r="L179" s="102">
        <f t="shared" si="67"/>
        <v>0</v>
      </c>
      <c r="M179" s="102">
        <f t="shared" si="67"/>
        <v>0</v>
      </c>
      <c r="N179" s="102">
        <f t="shared" si="67"/>
        <v>0</v>
      </c>
      <c r="O179" s="102">
        <f>$U$1*($Q$179*O164/100)/(100%-$T$179)*2</f>
        <v>0</v>
      </c>
      <c r="P179" s="102">
        <f>$U$1*($Q$179*P164/100)/(100%-$T$179)*2</f>
        <v>0</v>
      </c>
      <c r="Q179" s="101">
        <f>(10.8/2*0.4)</f>
        <v>2.16</v>
      </c>
      <c r="T179" s="104">
        <f t="shared" si="62"/>
        <v>0.43</v>
      </c>
    </row>
    <row r="180" spans="2:21" ht="15.75" customHeight="1" thickTop="1" x14ac:dyDescent="0.35"/>
    <row r="181" spans="2:21" x14ac:dyDescent="0.35">
      <c r="B181" s="17" t="s">
        <v>738</v>
      </c>
      <c r="L181" s="20"/>
      <c r="U181" s="45"/>
    </row>
    <row r="182" spans="2:21" x14ac:dyDescent="0.35">
      <c r="N182" s="45"/>
      <c r="O182" s="45"/>
      <c r="P182" s="45"/>
      <c r="Q182" s="45"/>
      <c r="R182" s="45"/>
    </row>
    <row r="183" spans="2:21" s="45" customFormat="1" x14ac:dyDescent="0.35">
      <c r="B183" s="26" t="s">
        <v>27</v>
      </c>
      <c r="D183" s="26" t="s">
        <v>29</v>
      </c>
      <c r="E183" s="27"/>
      <c r="F183" s="23"/>
      <c r="G183" s="67">
        <v>601</v>
      </c>
      <c r="H183" s="76">
        <f t="shared" ref="H183:P183" si="68">G184+1</f>
        <v>651</v>
      </c>
      <c r="I183" s="76">
        <f t="shared" si="68"/>
        <v>701</v>
      </c>
      <c r="J183" s="76">
        <f t="shared" si="68"/>
        <v>751</v>
      </c>
      <c r="K183" s="76">
        <f t="shared" si="68"/>
        <v>801</v>
      </c>
      <c r="L183" s="76">
        <f t="shared" si="68"/>
        <v>851</v>
      </c>
      <c r="M183" s="76">
        <f t="shared" si="68"/>
        <v>901</v>
      </c>
      <c r="N183" s="76">
        <f t="shared" si="68"/>
        <v>951</v>
      </c>
      <c r="O183" s="76">
        <f t="shared" si="68"/>
        <v>1001</v>
      </c>
      <c r="P183" s="76">
        <f t="shared" si="68"/>
        <v>1051</v>
      </c>
      <c r="S183" s="176" t="s">
        <v>22</v>
      </c>
      <c r="T183" s="53">
        <f>W1</f>
        <v>49</v>
      </c>
      <c r="U183" s="19"/>
    </row>
    <row r="184" spans="2:21" s="45" customFormat="1" ht="11.6" x14ac:dyDescent="0.35">
      <c r="C184" s="27"/>
      <c r="D184" s="28"/>
      <c r="E184" s="27"/>
      <c r="F184" s="23" t="s">
        <v>26</v>
      </c>
      <c r="G184" s="96">
        <f>G183+$T$183</f>
        <v>650</v>
      </c>
      <c r="H184" s="96">
        <f t="shared" ref="H184:P184" si="69">H183+$T$183</f>
        <v>700</v>
      </c>
      <c r="I184" s="96">
        <f t="shared" si="69"/>
        <v>750</v>
      </c>
      <c r="J184" s="96">
        <f t="shared" si="69"/>
        <v>800</v>
      </c>
      <c r="K184" s="96">
        <f t="shared" si="69"/>
        <v>850</v>
      </c>
      <c r="L184" s="96">
        <f t="shared" si="69"/>
        <v>900</v>
      </c>
      <c r="M184" s="96">
        <f t="shared" si="69"/>
        <v>950</v>
      </c>
      <c r="N184" s="96">
        <f t="shared" si="69"/>
        <v>1000</v>
      </c>
      <c r="O184" s="283">
        <f t="shared" si="69"/>
        <v>1050</v>
      </c>
      <c r="P184" s="96">
        <f t="shared" si="69"/>
        <v>1100</v>
      </c>
    </row>
    <row r="185" spans="2:21" s="45" customFormat="1" ht="12" thickBot="1" x14ac:dyDescent="0.4">
      <c r="C185" s="27"/>
      <c r="D185" s="28"/>
      <c r="E185" s="27"/>
      <c r="F185" s="27"/>
      <c r="G185" s="97"/>
      <c r="H185" s="97"/>
      <c r="I185" s="98"/>
      <c r="J185" s="99"/>
      <c r="K185" s="98"/>
      <c r="L185" s="98"/>
      <c r="M185" s="98"/>
      <c r="N185" s="98"/>
      <c r="O185" s="278"/>
      <c r="P185" s="280"/>
      <c r="Q185" s="45" t="s">
        <v>95</v>
      </c>
      <c r="S185" s="21"/>
      <c r="T185" s="45" t="s">
        <v>39</v>
      </c>
    </row>
    <row r="186" spans="2:21" s="45" customFormat="1" ht="12.45" customHeight="1" thickTop="1" thickBot="1" x14ac:dyDescent="0.4">
      <c r="B186" s="83">
        <v>9010020035</v>
      </c>
      <c r="C186" s="39" t="s">
        <v>734</v>
      </c>
      <c r="D186" s="39"/>
      <c r="E186" s="26"/>
      <c r="F186" s="26"/>
      <c r="G186" s="102">
        <f t="shared" ref="G186:N186" si="70">$U$1*($Q$186*G184/100)/(100%-$T$186)*2</f>
        <v>0</v>
      </c>
      <c r="H186" s="102">
        <f t="shared" si="70"/>
        <v>0</v>
      </c>
      <c r="I186" s="102">
        <f t="shared" si="70"/>
        <v>0</v>
      </c>
      <c r="J186" s="102">
        <f t="shared" si="70"/>
        <v>0</v>
      </c>
      <c r="K186" s="102">
        <f t="shared" si="70"/>
        <v>0</v>
      </c>
      <c r="L186" s="102">
        <f t="shared" si="70"/>
        <v>0</v>
      </c>
      <c r="M186" s="102">
        <f t="shared" si="70"/>
        <v>0</v>
      </c>
      <c r="N186" s="102">
        <f t="shared" si="70"/>
        <v>0</v>
      </c>
      <c r="O186" s="102">
        <f>$U$1*($Q$186*O184/100)/(100%-$T$186)*2</f>
        <v>0</v>
      </c>
      <c r="P186" s="102">
        <f>$U$1*($Q$186*P184/100)/(100%-$T$186)*2</f>
        <v>0</v>
      </c>
      <c r="Q186" s="101">
        <f>(10.8/2*0.33)</f>
        <v>1.7820000000000003</v>
      </c>
      <c r="T186" s="274">
        <v>0.4</v>
      </c>
    </row>
    <row r="187" spans="2:21" s="45" customFormat="1" ht="12.45" customHeight="1" thickTop="1" thickBot="1" x14ac:dyDescent="0.4">
      <c r="B187" s="83">
        <v>9010020036</v>
      </c>
      <c r="C187" s="39" t="s">
        <v>735</v>
      </c>
      <c r="D187" s="39"/>
      <c r="E187" s="26"/>
      <c r="F187" s="26"/>
      <c r="G187" s="102">
        <f t="shared" ref="G187:N187" si="71">$U$1*($Q$187*G184/100)/(100%-$T$187)*2</f>
        <v>0</v>
      </c>
      <c r="H187" s="102">
        <f t="shared" si="71"/>
        <v>0</v>
      </c>
      <c r="I187" s="102">
        <f t="shared" si="71"/>
        <v>0</v>
      </c>
      <c r="J187" s="102">
        <f t="shared" si="71"/>
        <v>0</v>
      </c>
      <c r="K187" s="102">
        <f t="shared" si="71"/>
        <v>0</v>
      </c>
      <c r="L187" s="102">
        <f t="shared" si="71"/>
        <v>0</v>
      </c>
      <c r="M187" s="102">
        <f t="shared" si="71"/>
        <v>0</v>
      </c>
      <c r="N187" s="102">
        <f t="shared" si="71"/>
        <v>0</v>
      </c>
      <c r="O187" s="102">
        <f>$U$1*($Q$187*O184/100)/(100%-$T$187)*2</f>
        <v>0</v>
      </c>
      <c r="P187" s="102">
        <f>$U$1*($Q$187*P184/100)/(100%-$T$187)*2</f>
        <v>0</v>
      </c>
      <c r="Q187" s="101">
        <f>(10.8/2*0.4)</f>
        <v>2.16</v>
      </c>
      <c r="T187" s="274">
        <v>0.51500000000000001</v>
      </c>
    </row>
    <row r="188" spans="2:21" s="45" customFormat="1" ht="6.45" customHeight="1" thickTop="1" x14ac:dyDescent="0.35">
      <c r="B188" s="83"/>
      <c r="C188" s="39"/>
      <c r="D188" s="39"/>
      <c r="E188" s="26"/>
      <c r="F188" s="26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1"/>
      <c r="T188" s="260"/>
    </row>
    <row r="189" spans="2:21" s="45" customFormat="1" ht="6.45" customHeight="1" thickBot="1" x14ac:dyDescent="0.4">
      <c r="B189" s="83"/>
      <c r="C189" s="39"/>
      <c r="D189" s="39"/>
      <c r="E189" s="26"/>
      <c r="F189" s="26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101"/>
      <c r="T189" s="261"/>
    </row>
    <row r="190" spans="2:21" s="45" customFormat="1" ht="12.45" customHeight="1" thickTop="1" thickBot="1" x14ac:dyDescent="0.4">
      <c r="B190" s="83">
        <v>9010020037</v>
      </c>
      <c r="C190" s="39" t="s">
        <v>736</v>
      </c>
      <c r="D190" s="39"/>
      <c r="E190" s="26"/>
      <c r="F190" s="26"/>
      <c r="G190" s="102">
        <f t="shared" ref="G190:N190" si="72">$U$1*($Q$190*G184/100)/(100%-$T$190)*2</f>
        <v>0</v>
      </c>
      <c r="H190" s="102">
        <f t="shared" si="72"/>
        <v>0</v>
      </c>
      <c r="I190" s="102">
        <f t="shared" si="72"/>
        <v>0</v>
      </c>
      <c r="J190" s="102">
        <f t="shared" si="72"/>
        <v>0</v>
      </c>
      <c r="K190" s="102">
        <f t="shared" si="72"/>
        <v>0</v>
      </c>
      <c r="L190" s="102">
        <f t="shared" si="72"/>
        <v>0</v>
      </c>
      <c r="M190" s="102">
        <f t="shared" si="72"/>
        <v>0</v>
      </c>
      <c r="N190" s="102">
        <f t="shared" si="72"/>
        <v>0</v>
      </c>
      <c r="O190" s="102">
        <f>$U$1*($Q$190*O184/100)/(100%-$T$190)*2</f>
        <v>0</v>
      </c>
      <c r="P190" s="102">
        <f>$U$1*($Q$190*P184/100)/(100%-$T$190)*2</f>
        <v>0</v>
      </c>
      <c r="Q190" s="101">
        <f>(10.8/2*0.33)</f>
        <v>1.7820000000000003</v>
      </c>
      <c r="T190" s="104">
        <f>T186</f>
        <v>0.4</v>
      </c>
    </row>
    <row r="191" spans="2:21" s="45" customFormat="1" ht="12.45" customHeight="1" thickTop="1" thickBot="1" x14ac:dyDescent="0.4">
      <c r="B191" s="83">
        <v>9010020038</v>
      </c>
      <c r="C191" s="39" t="s">
        <v>737</v>
      </c>
      <c r="D191" s="39"/>
      <c r="E191" s="26"/>
      <c r="F191" s="26"/>
      <c r="G191" s="102">
        <f t="shared" ref="G191:N191" si="73">$U$1*($Q$191*G184/100)/(100%-$T$191)*2</f>
        <v>0</v>
      </c>
      <c r="H191" s="102">
        <f t="shared" si="73"/>
        <v>0</v>
      </c>
      <c r="I191" s="102">
        <f t="shared" si="73"/>
        <v>0</v>
      </c>
      <c r="J191" s="102">
        <f t="shared" si="73"/>
        <v>0</v>
      </c>
      <c r="K191" s="102">
        <f t="shared" si="73"/>
        <v>0</v>
      </c>
      <c r="L191" s="102">
        <f t="shared" si="73"/>
        <v>0</v>
      </c>
      <c r="M191" s="102">
        <f t="shared" si="73"/>
        <v>0</v>
      </c>
      <c r="N191" s="102">
        <f t="shared" si="73"/>
        <v>0</v>
      </c>
      <c r="O191" s="102">
        <f>$U$1*($Q$191*O184/100)/(100%-$T$191)*2</f>
        <v>0</v>
      </c>
      <c r="P191" s="102">
        <f>$U$1*($Q$191*P184/100)/(100%-$T$191)*2</f>
        <v>0</v>
      </c>
      <c r="Q191" s="101">
        <f>(10.8/2*0.4)</f>
        <v>2.16</v>
      </c>
      <c r="T191" s="104">
        <f>T187</f>
        <v>0.51500000000000001</v>
      </c>
    </row>
    <row r="192" spans="2:21" s="45" customFormat="1" ht="29.7" customHeight="1" thickTop="1" x14ac:dyDescent="0.35">
      <c r="B192" s="83"/>
      <c r="C192" s="39"/>
      <c r="D192" s="39"/>
      <c r="E192" s="26"/>
      <c r="F192" s="2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1"/>
      <c r="T192" s="107"/>
    </row>
    <row r="193" spans="2:21" x14ac:dyDescent="0.35">
      <c r="B193" s="17" t="s">
        <v>9</v>
      </c>
      <c r="L193" s="20"/>
    </row>
    <row r="194" spans="2:21" x14ac:dyDescent="0.35">
      <c r="N194" s="45"/>
      <c r="O194" s="45"/>
      <c r="P194" s="45"/>
      <c r="Q194" s="45"/>
      <c r="R194" s="45"/>
    </row>
    <row r="195" spans="2:21" s="45" customFormat="1" x14ac:dyDescent="0.35">
      <c r="B195" s="26" t="s">
        <v>27</v>
      </c>
      <c r="C195" s="28"/>
      <c r="D195" s="26" t="s">
        <v>29</v>
      </c>
      <c r="E195" s="28"/>
      <c r="F195" s="39"/>
      <c r="G195" s="67">
        <v>601</v>
      </c>
      <c r="H195" s="76">
        <f t="shared" ref="H195:N195" si="74">G196+1</f>
        <v>651</v>
      </c>
      <c r="I195" s="76">
        <f t="shared" si="74"/>
        <v>701</v>
      </c>
      <c r="J195" s="76">
        <f t="shared" si="74"/>
        <v>751</v>
      </c>
      <c r="K195" s="76">
        <f t="shared" si="74"/>
        <v>801</v>
      </c>
      <c r="L195" s="76">
        <f t="shared" si="74"/>
        <v>851</v>
      </c>
      <c r="M195" s="76">
        <f t="shared" si="74"/>
        <v>901</v>
      </c>
      <c r="N195" s="76">
        <f t="shared" si="74"/>
        <v>951</v>
      </c>
      <c r="O195" s="76">
        <f>N196+1</f>
        <v>1001</v>
      </c>
      <c r="P195" s="76">
        <f>O196+1</f>
        <v>1051</v>
      </c>
      <c r="S195" s="176" t="s">
        <v>22</v>
      </c>
      <c r="T195" s="53">
        <f>W1</f>
        <v>49</v>
      </c>
      <c r="U195" s="19"/>
    </row>
    <row r="196" spans="2:21" s="45" customFormat="1" ht="11.6" x14ac:dyDescent="0.35">
      <c r="C196" s="28"/>
      <c r="D196" s="27"/>
      <c r="E196" s="28"/>
      <c r="F196" s="23" t="s">
        <v>26</v>
      </c>
      <c r="G196" s="96">
        <f>G195+$T$195</f>
        <v>650</v>
      </c>
      <c r="H196" s="96">
        <f t="shared" ref="H196:M196" si="75">H195+$T$195</f>
        <v>700</v>
      </c>
      <c r="I196" s="96">
        <f t="shared" si="75"/>
        <v>750</v>
      </c>
      <c r="J196" s="96">
        <f t="shared" si="75"/>
        <v>800</v>
      </c>
      <c r="K196" s="96">
        <f t="shared" si="75"/>
        <v>850</v>
      </c>
      <c r="L196" s="96">
        <f t="shared" si="75"/>
        <v>900</v>
      </c>
      <c r="M196" s="96">
        <f t="shared" si="75"/>
        <v>950</v>
      </c>
      <c r="N196" s="96">
        <f>N195+$T$195</f>
        <v>1000</v>
      </c>
      <c r="O196" s="96">
        <f>O195+$T$195</f>
        <v>1050</v>
      </c>
      <c r="P196" s="96">
        <f>P195+$T$195</f>
        <v>1100</v>
      </c>
    </row>
    <row r="197" spans="2:21" s="45" customFormat="1" ht="12" thickBot="1" x14ac:dyDescent="0.4">
      <c r="C197" s="28"/>
      <c r="D197" s="27"/>
      <c r="E197" s="28"/>
      <c r="F197" s="27"/>
      <c r="G197" s="81"/>
      <c r="H197" s="81"/>
      <c r="I197" s="35"/>
      <c r="J197" s="81"/>
      <c r="K197" s="81"/>
      <c r="L197" s="35"/>
      <c r="M197" s="59"/>
      <c r="N197" s="36"/>
      <c r="O197" s="36"/>
      <c r="P197" s="36"/>
      <c r="Q197" s="45" t="s">
        <v>95</v>
      </c>
      <c r="S197" s="21"/>
      <c r="T197" s="45" t="s">
        <v>39</v>
      </c>
    </row>
    <row r="198" spans="2:21" s="92" customFormat="1" ht="12.45" customHeight="1" thickTop="1" thickBot="1" x14ac:dyDescent="0.4">
      <c r="B198" s="87"/>
      <c r="C198" s="100" t="s">
        <v>588</v>
      </c>
      <c r="D198" s="100"/>
      <c r="F198" s="88"/>
      <c r="G198" s="91">
        <f t="shared" ref="G198:N198" si="76">$U$1*($Q$198*G196/100)/(100%-$T$198)*2</f>
        <v>0</v>
      </c>
      <c r="H198" s="91">
        <f t="shared" si="76"/>
        <v>0</v>
      </c>
      <c r="I198" s="91">
        <f t="shared" si="76"/>
        <v>0</v>
      </c>
      <c r="J198" s="91">
        <f t="shared" si="76"/>
        <v>0</v>
      </c>
      <c r="K198" s="91">
        <f t="shared" si="76"/>
        <v>0</v>
      </c>
      <c r="L198" s="91">
        <f t="shared" si="76"/>
        <v>0</v>
      </c>
      <c r="M198" s="91">
        <f t="shared" si="76"/>
        <v>0</v>
      </c>
      <c r="N198" s="91">
        <f t="shared" si="76"/>
        <v>0</v>
      </c>
      <c r="O198" s="91">
        <f>$U$1*($Q$198*O196/100)/(100%-$T$198)*2</f>
        <v>0</v>
      </c>
      <c r="P198" s="91">
        <f>$U$1*($Q$198*P196/100)/(100%-$T$198)*2</f>
        <v>0</v>
      </c>
      <c r="Q198" s="105">
        <f>(10.8/2*0.2)</f>
        <v>1.08</v>
      </c>
      <c r="T198" s="104">
        <f>T166</f>
        <v>0.45</v>
      </c>
    </row>
    <row r="199" spans="2:21" s="45" customFormat="1" ht="12.45" customHeight="1" thickTop="1" thickBot="1" x14ac:dyDescent="0.4">
      <c r="B199" s="83">
        <v>9010020011</v>
      </c>
      <c r="C199" s="39" t="s">
        <v>589</v>
      </c>
      <c r="D199" s="39"/>
      <c r="F199" s="26"/>
      <c r="G199" s="102">
        <f t="shared" ref="G199:N199" si="77">$U$1*($Q$199*G196/100)/(100%-$T$199)*2</f>
        <v>0</v>
      </c>
      <c r="H199" s="102">
        <f t="shared" si="77"/>
        <v>0</v>
      </c>
      <c r="I199" s="102">
        <f t="shared" si="77"/>
        <v>0</v>
      </c>
      <c r="J199" s="102">
        <f t="shared" si="77"/>
        <v>0</v>
      </c>
      <c r="K199" s="102">
        <f t="shared" si="77"/>
        <v>0</v>
      </c>
      <c r="L199" s="102">
        <f t="shared" si="77"/>
        <v>0</v>
      </c>
      <c r="M199" s="102">
        <f t="shared" si="77"/>
        <v>0</v>
      </c>
      <c r="N199" s="102">
        <f t="shared" si="77"/>
        <v>0</v>
      </c>
      <c r="O199" s="102">
        <f>$U$1*($Q$199*O196/100)/(100%-$T$199)*2</f>
        <v>0</v>
      </c>
      <c r="P199" s="102">
        <f>$U$1*($Q$199*P196/100)/(100%-$T$199)*2</f>
        <v>0</v>
      </c>
      <c r="Q199" s="105">
        <f>(10.8/2*0.25)</f>
        <v>1.35</v>
      </c>
      <c r="T199" s="104">
        <f>T167</f>
        <v>0.43</v>
      </c>
    </row>
    <row r="200" spans="2:21" s="92" customFormat="1" ht="12.45" customHeight="1" thickTop="1" thickBot="1" x14ac:dyDescent="0.4">
      <c r="B200" s="87"/>
      <c r="C200" s="100" t="s">
        <v>590</v>
      </c>
      <c r="D200" s="100"/>
      <c r="F200" s="88"/>
      <c r="G200" s="91">
        <f t="shared" ref="G200:N200" si="78">$U$1*($Q$200*G196/100)/(100%-$T$200)*2</f>
        <v>0</v>
      </c>
      <c r="H200" s="91">
        <f t="shared" si="78"/>
        <v>0</v>
      </c>
      <c r="I200" s="91">
        <f t="shared" si="78"/>
        <v>0</v>
      </c>
      <c r="J200" s="91">
        <f t="shared" si="78"/>
        <v>0</v>
      </c>
      <c r="K200" s="91">
        <f t="shared" si="78"/>
        <v>0</v>
      </c>
      <c r="L200" s="91">
        <f t="shared" si="78"/>
        <v>0</v>
      </c>
      <c r="M200" s="91">
        <f t="shared" si="78"/>
        <v>0</v>
      </c>
      <c r="N200" s="91">
        <f t="shared" si="78"/>
        <v>0</v>
      </c>
      <c r="O200" s="91">
        <f>$U$1*($Q$200*O196/100)/(100%-$T$200)*2</f>
        <v>0</v>
      </c>
      <c r="P200" s="91">
        <f>$U$1*($Q$200*P196/100)/(100%-$T$200)*2</f>
        <v>0</v>
      </c>
      <c r="Q200" s="105">
        <f>(10.8/2*0.28)</f>
        <v>1.5120000000000002</v>
      </c>
      <c r="T200" s="104">
        <f>T168</f>
        <v>0.43</v>
      </c>
    </row>
    <row r="201" spans="2:21" s="45" customFormat="1" ht="12.45" customHeight="1" thickTop="1" thickBot="1" x14ac:dyDescent="0.4">
      <c r="B201" s="83">
        <v>9010020010</v>
      </c>
      <c r="C201" s="39" t="s">
        <v>591</v>
      </c>
      <c r="D201" s="26"/>
      <c r="F201" s="26"/>
      <c r="G201" s="102">
        <f t="shared" ref="G201:N201" si="79">$U$1*($Q$201*G196/100)/(100%-$T$201)*2</f>
        <v>0</v>
      </c>
      <c r="H201" s="102">
        <f t="shared" si="79"/>
        <v>0</v>
      </c>
      <c r="I201" s="102">
        <f t="shared" si="79"/>
        <v>0</v>
      </c>
      <c r="J201" s="102">
        <f t="shared" si="79"/>
        <v>0</v>
      </c>
      <c r="K201" s="102">
        <f t="shared" si="79"/>
        <v>0</v>
      </c>
      <c r="L201" s="102">
        <f t="shared" si="79"/>
        <v>0</v>
      </c>
      <c r="M201" s="102">
        <f t="shared" si="79"/>
        <v>0</v>
      </c>
      <c r="N201" s="102">
        <f t="shared" si="79"/>
        <v>0</v>
      </c>
      <c r="O201" s="102">
        <f>$U$1*($Q$201*O196/100)/(100%-$T$201)*2</f>
        <v>0</v>
      </c>
      <c r="P201" s="102">
        <f>$U$1*($Q$201*P196/100)/(100%-$T$201)*2</f>
        <v>0</v>
      </c>
      <c r="Q201" s="105">
        <f>(10.8/2*0.33)</f>
        <v>1.7820000000000003</v>
      </c>
      <c r="T201" s="104">
        <f>T170</f>
        <v>0.3</v>
      </c>
    </row>
    <row r="202" spans="2:21" s="101" customFormat="1" ht="12.45" customHeight="1" thickTop="1" thickBot="1" x14ac:dyDescent="0.4">
      <c r="B202" s="103">
        <v>9010020012</v>
      </c>
      <c r="C202" s="82" t="s">
        <v>592</v>
      </c>
      <c r="D202" s="52"/>
      <c r="F202" s="52"/>
      <c r="G202" s="102">
        <f t="shared" ref="G202:N202" si="80">$U$1*($Q$202*G196/100)/(100%-$T$202)*2</f>
        <v>0</v>
      </c>
      <c r="H202" s="102">
        <f t="shared" si="80"/>
        <v>0</v>
      </c>
      <c r="I202" s="102">
        <f t="shared" si="80"/>
        <v>0</v>
      </c>
      <c r="J202" s="102">
        <f t="shared" si="80"/>
        <v>0</v>
      </c>
      <c r="K202" s="102">
        <f t="shared" si="80"/>
        <v>0</v>
      </c>
      <c r="L202" s="102">
        <f t="shared" si="80"/>
        <v>0</v>
      </c>
      <c r="M202" s="102">
        <f t="shared" si="80"/>
        <v>0</v>
      </c>
      <c r="N202" s="102">
        <f t="shared" si="80"/>
        <v>0</v>
      </c>
      <c r="O202" s="102">
        <f>$U$1*($Q$202*O196/100)/(100%-$T$202)*2</f>
        <v>0</v>
      </c>
      <c r="P202" s="102">
        <f>$U$1*($Q$202*P196/100)/(100%-$T$202)*2</f>
        <v>0</v>
      </c>
      <c r="Q202" s="105">
        <f>(10.8/2*0.4)</f>
        <v>2.16</v>
      </c>
      <c r="R202" s="45"/>
      <c r="S202" s="45"/>
      <c r="T202" s="104">
        <f>T171</f>
        <v>0.43</v>
      </c>
    </row>
    <row r="203" spans="2:21" s="101" customFormat="1" ht="12.45" customHeight="1" thickTop="1" x14ac:dyDescent="0.35">
      <c r="B203" s="82"/>
      <c r="C203" s="82"/>
      <c r="D203" s="52"/>
      <c r="F203" s="52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5"/>
      <c r="R203" s="45"/>
      <c r="S203" s="45"/>
      <c r="T203" s="107"/>
    </row>
    <row r="204" spans="2:21" s="101" customFormat="1" ht="12.45" customHeight="1" x14ac:dyDescent="0.35">
      <c r="B204" s="82"/>
      <c r="C204" s="82"/>
      <c r="D204" s="52"/>
      <c r="F204" s="52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5"/>
      <c r="R204" s="45"/>
      <c r="S204" s="45"/>
      <c r="T204" s="107"/>
    </row>
    <row r="205" spans="2:21" x14ac:dyDescent="0.35">
      <c r="B205" s="17" t="s">
        <v>9</v>
      </c>
      <c r="L205" s="20"/>
    </row>
    <row r="206" spans="2:21" x14ac:dyDescent="0.35">
      <c r="N206" s="45"/>
      <c r="O206" s="45"/>
      <c r="P206" s="45"/>
      <c r="Q206" s="45"/>
      <c r="R206" s="45"/>
    </row>
    <row r="207" spans="2:21" s="45" customFormat="1" x14ac:dyDescent="0.35">
      <c r="B207" s="26" t="s">
        <v>27</v>
      </c>
      <c r="C207" s="28"/>
      <c r="D207" s="26" t="s">
        <v>29</v>
      </c>
      <c r="E207" s="28"/>
      <c r="F207" s="39"/>
      <c r="G207" s="67">
        <v>601</v>
      </c>
      <c r="H207" s="76">
        <f t="shared" ref="H207:P207" si="81">G208+1</f>
        <v>651</v>
      </c>
      <c r="I207" s="76">
        <f t="shared" si="81"/>
        <v>701</v>
      </c>
      <c r="J207" s="76">
        <f t="shared" si="81"/>
        <v>751</v>
      </c>
      <c r="K207" s="76">
        <f t="shared" si="81"/>
        <v>801</v>
      </c>
      <c r="L207" s="76">
        <f t="shared" si="81"/>
        <v>851</v>
      </c>
      <c r="M207" s="76">
        <f t="shared" si="81"/>
        <v>901</v>
      </c>
      <c r="N207" s="76">
        <f t="shared" si="81"/>
        <v>951</v>
      </c>
      <c r="O207" s="76">
        <f t="shared" si="81"/>
        <v>1001</v>
      </c>
      <c r="P207" s="76">
        <f t="shared" si="81"/>
        <v>1051</v>
      </c>
      <c r="S207" s="52" t="s">
        <v>22</v>
      </c>
      <c r="T207" s="53">
        <f>W1</f>
        <v>49</v>
      </c>
      <c r="U207" s="19"/>
    </row>
    <row r="208" spans="2:21" s="45" customFormat="1" ht="11.6" x14ac:dyDescent="0.35">
      <c r="C208" s="28"/>
      <c r="D208" s="27"/>
      <c r="E208" s="28"/>
      <c r="F208" s="23" t="s">
        <v>26</v>
      </c>
      <c r="G208" s="96">
        <f>G207+$T$207</f>
        <v>650</v>
      </c>
      <c r="H208" s="96">
        <f t="shared" ref="H208:M208" si="82">H207+$T$207</f>
        <v>700</v>
      </c>
      <c r="I208" s="96">
        <f t="shared" si="82"/>
        <v>750</v>
      </c>
      <c r="J208" s="96">
        <f t="shared" si="82"/>
        <v>800</v>
      </c>
      <c r="K208" s="96">
        <f t="shared" si="82"/>
        <v>850</v>
      </c>
      <c r="L208" s="96">
        <f t="shared" si="82"/>
        <v>900</v>
      </c>
      <c r="M208" s="96">
        <f t="shared" si="82"/>
        <v>950</v>
      </c>
      <c r="N208" s="96">
        <f>N207+$T$207</f>
        <v>1000</v>
      </c>
      <c r="O208" s="96">
        <f>O207+$T$207</f>
        <v>1050</v>
      </c>
      <c r="P208" s="96">
        <f>P207+$T$207</f>
        <v>1100</v>
      </c>
    </row>
    <row r="209" spans="2:22" s="101" customFormat="1" ht="12" thickBot="1" x14ac:dyDescent="0.4">
      <c r="B209" s="82"/>
      <c r="C209" s="82"/>
      <c r="D209" s="52"/>
      <c r="F209" s="5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45" t="s">
        <v>95</v>
      </c>
      <c r="R209" s="45"/>
      <c r="S209" s="21"/>
      <c r="T209" s="45" t="s">
        <v>39</v>
      </c>
    </row>
    <row r="210" spans="2:22" s="92" customFormat="1" ht="12.45" customHeight="1" thickTop="1" thickBot="1" x14ac:dyDescent="0.4">
      <c r="B210" s="87"/>
      <c r="C210" s="100" t="s">
        <v>593</v>
      </c>
      <c r="D210" s="88"/>
      <c r="F210" s="88"/>
      <c r="G210" s="91">
        <f t="shared" ref="G210:N210" si="83">$U$1*($Q$210*G208/100)/(100%-$T$210)*2</f>
        <v>0</v>
      </c>
      <c r="H210" s="91">
        <f t="shared" si="83"/>
        <v>0</v>
      </c>
      <c r="I210" s="91">
        <f t="shared" si="83"/>
        <v>0</v>
      </c>
      <c r="J210" s="91">
        <f t="shared" si="83"/>
        <v>0</v>
      </c>
      <c r="K210" s="91">
        <f t="shared" si="83"/>
        <v>0</v>
      </c>
      <c r="L210" s="91">
        <f t="shared" si="83"/>
        <v>0</v>
      </c>
      <c r="M210" s="91">
        <f t="shared" si="83"/>
        <v>0</v>
      </c>
      <c r="N210" s="91">
        <f t="shared" si="83"/>
        <v>0</v>
      </c>
      <c r="O210" s="91">
        <f>$U$1*($Q$210*O208/100)/(100%-$T$210)*2</f>
        <v>0</v>
      </c>
      <c r="P210" s="91">
        <f>$U$1*($Q$210*P208/100)/(100%-$T$210)*2</f>
        <v>0</v>
      </c>
      <c r="Q210" s="105">
        <f>(10.8/2*0.2)</f>
        <v>1.08</v>
      </c>
      <c r="T210" s="104">
        <f>T174</f>
        <v>0.45</v>
      </c>
    </row>
    <row r="211" spans="2:22" s="45" customFormat="1" ht="12.45" customHeight="1" thickTop="1" thickBot="1" x14ac:dyDescent="0.4">
      <c r="B211" s="83">
        <v>9010020008</v>
      </c>
      <c r="C211" s="39" t="s">
        <v>594</v>
      </c>
      <c r="D211" s="26"/>
      <c r="F211" s="26"/>
      <c r="G211" s="102">
        <f t="shared" ref="G211:N211" si="84">$U$1*($Q$211*G208/100)/(100%-$T$211)*2</f>
        <v>0</v>
      </c>
      <c r="H211" s="102">
        <f t="shared" si="84"/>
        <v>0</v>
      </c>
      <c r="I211" s="102">
        <f t="shared" si="84"/>
        <v>0</v>
      </c>
      <c r="J211" s="102">
        <f t="shared" si="84"/>
        <v>0</v>
      </c>
      <c r="K211" s="102">
        <f t="shared" si="84"/>
        <v>0</v>
      </c>
      <c r="L211" s="102">
        <f t="shared" si="84"/>
        <v>0</v>
      </c>
      <c r="M211" s="102">
        <f t="shared" si="84"/>
        <v>0</v>
      </c>
      <c r="N211" s="102">
        <f t="shared" si="84"/>
        <v>0</v>
      </c>
      <c r="O211" s="102">
        <f>$U$1*($Q$211*O208/100)/(100%-$T$211)*2</f>
        <v>0</v>
      </c>
      <c r="P211" s="102">
        <f>$U$1*($Q$211*P208/100)/(100%-$T$211)*2</f>
        <v>0</v>
      </c>
      <c r="Q211" s="105">
        <f>(10.8/2*0.25)</f>
        <v>1.35</v>
      </c>
      <c r="T211" s="104">
        <f>T175</f>
        <v>0.43</v>
      </c>
    </row>
    <row r="212" spans="2:22" s="92" customFormat="1" ht="12.45" customHeight="1" thickTop="1" thickBot="1" x14ac:dyDescent="0.4">
      <c r="B212" s="87"/>
      <c r="C212" s="100" t="s">
        <v>595</v>
      </c>
      <c r="D212" s="88"/>
      <c r="F212" s="88"/>
      <c r="G212" s="91">
        <f t="shared" ref="G212:N212" si="85">$U$1*($Q$212*G208/100)/(100%-$T$212)*2</f>
        <v>0</v>
      </c>
      <c r="H212" s="91">
        <f t="shared" si="85"/>
        <v>0</v>
      </c>
      <c r="I212" s="91">
        <f t="shared" si="85"/>
        <v>0</v>
      </c>
      <c r="J212" s="91">
        <f t="shared" si="85"/>
        <v>0</v>
      </c>
      <c r="K212" s="91">
        <f t="shared" si="85"/>
        <v>0</v>
      </c>
      <c r="L212" s="91">
        <f t="shared" si="85"/>
        <v>0</v>
      </c>
      <c r="M212" s="91">
        <f t="shared" si="85"/>
        <v>0</v>
      </c>
      <c r="N212" s="91">
        <f t="shared" si="85"/>
        <v>0</v>
      </c>
      <c r="O212" s="91">
        <f>$U$1*($Q$212*O208/100)/(100%-$T$212)*2</f>
        <v>0</v>
      </c>
      <c r="P212" s="91">
        <f>$U$1*($Q$212*P208/100)/(100%-$T$212)*2</f>
        <v>0</v>
      </c>
      <c r="Q212" s="105">
        <f>(10.8/2*0.28)</f>
        <v>1.5120000000000002</v>
      </c>
      <c r="T212" s="104">
        <f>T176</f>
        <v>0.43</v>
      </c>
    </row>
    <row r="213" spans="2:22" s="45" customFormat="1" ht="12.45" customHeight="1" thickTop="1" thickBot="1" x14ac:dyDescent="0.4">
      <c r="B213" s="83">
        <v>9010020007</v>
      </c>
      <c r="C213" s="39" t="s">
        <v>596</v>
      </c>
      <c r="D213" s="26"/>
      <c r="F213" s="26"/>
      <c r="G213" s="102">
        <f t="shared" ref="G213:N213" si="86">$U$1*($Q$213*G208/100)/(100%-$T$213)*2</f>
        <v>0</v>
      </c>
      <c r="H213" s="102">
        <f t="shared" si="86"/>
        <v>0</v>
      </c>
      <c r="I213" s="102">
        <f t="shared" si="86"/>
        <v>0</v>
      </c>
      <c r="J213" s="102">
        <f t="shared" si="86"/>
        <v>0</v>
      </c>
      <c r="K213" s="102">
        <f t="shared" si="86"/>
        <v>0</v>
      </c>
      <c r="L213" s="102">
        <f t="shared" si="86"/>
        <v>0</v>
      </c>
      <c r="M213" s="102">
        <f t="shared" si="86"/>
        <v>0</v>
      </c>
      <c r="N213" s="102">
        <f t="shared" si="86"/>
        <v>0</v>
      </c>
      <c r="O213" s="102">
        <f>$U$1*($Q$213*O208/100)/(100%-$T$213)*2</f>
        <v>0</v>
      </c>
      <c r="P213" s="102">
        <f>$U$1*($Q$213*P208/100)/(100%-$T$213)*2</f>
        <v>0</v>
      </c>
      <c r="Q213" s="105">
        <f>(10.8/2*0.33)</f>
        <v>1.7820000000000003</v>
      </c>
      <c r="T213" s="104">
        <f>T178</f>
        <v>0.3</v>
      </c>
    </row>
    <row r="214" spans="2:22" s="101" customFormat="1" ht="12.45" customHeight="1" thickTop="1" thickBot="1" x14ac:dyDescent="0.4">
      <c r="B214" s="103">
        <v>9010020009</v>
      </c>
      <c r="C214" s="82" t="s">
        <v>597</v>
      </c>
      <c r="D214" s="52"/>
      <c r="F214" s="52"/>
      <c r="G214" s="102">
        <f t="shared" ref="G214:N214" si="87">$U$1*($Q$214*G208/100)/(100%-$T$214)*2</f>
        <v>0</v>
      </c>
      <c r="H214" s="102">
        <f t="shared" si="87"/>
        <v>0</v>
      </c>
      <c r="I214" s="102">
        <f t="shared" si="87"/>
        <v>0</v>
      </c>
      <c r="J214" s="102">
        <f t="shared" si="87"/>
        <v>0</v>
      </c>
      <c r="K214" s="102">
        <f t="shared" si="87"/>
        <v>0</v>
      </c>
      <c r="L214" s="102">
        <f t="shared" si="87"/>
        <v>0</v>
      </c>
      <c r="M214" s="102">
        <f t="shared" si="87"/>
        <v>0</v>
      </c>
      <c r="N214" s="102">
        <f t="shared" si="87"/>
        <v>0</v>
      </c>
      <c r="O214" s="102">
        <f>$U$1*($Q$214*O208/100)/(100%-$T$214)*2</f>
        <v>0</v>
      </c>
      <c r="P214" s="102">
        <f>$U$1*($Q$214*P208/100)/(100%-$T$214)*2</f>
        <v>0</v>
      </c>
      <c r="Q214" s="105">
        <f>(10.8/2*0.4)</f>
        <v>2.16</v>
      </c>
      <c r="R214" s="45"/>
      <c r="S214" s="45"/>
      <c r="T214" s="104">
        <f>T179</f>
        <v>0.43</v>
      </c>
    </row>
    <row r="215" spans="2:22" s="45" customFormat="1" ht="7.95" customHeight="1" thickTop="1" x14ac:dyDescent="0.35">
      <c r="B215" s="83"/>
      <c r="C215" s="39"/>
      <c r="D215" s="26"/>
      <c r="F215" s="26"/>
      <c r="G215" s="26"/>
      <c r="H215" s="26"/>
      <c r="I215" s="26"/>
      <c r="J215" s="26"/>
      <c r="K215" s="26"/>
      <c r="L215" s="26"/>
      <c r="M215" s="26"/>
      <c r="N215" s="19"/>
      <c r="O215" s="19"/>
      <c r="P215" s="19"/>
      <c r="Q215" s="19"/>
      <c r="R215" s="19"/>
    </row>
    <row r="216" spans="2:22" x14ac:dyDescent="0.35">
      <c r="U216" s="45"/>
    </row>
    <row r="217" spans="2:22" x14ac:dyDescent="0.35">
      <c r="B217" s="17" t="s">
        <v>10</v>
      </c>
    </row>
    <row r="218" spans="2:22" ht="18.45" thickBot="1" x14ac:dyDescent="0.4">
      <c r="N218" s="45"/>
      <c r="O218" s="45"/>
      <c r="P218" s="45"/>
      <c r="Q218" s="45"/>
      <c r="R218" s="45"/>
    </row>
    <row r="219" spans="2:22" s="45" customFormat="1" ht="12" thickBot="1" x14ac:dyDescent="0.4">
      <c r="B219" s="26" t="s">
        <v>27</v>
      </c>
      <c r="C219" s="28"/>
      <c r="D219" s="39" t="s">
        <v>86</v>
      </c>
      <c r="E219" s="28"/>
      <c r="F219" s="23"/>
      <c r="G219" s="70"/>
      <c r="H219" s="70"/>
      <c r="I219" s="70"/>
      <c r="J219" s="70"/>
      <c r="K219" s="70"/>
      <c r="L219" s="70"/>
      <c r="M219" s="70"/>
      <c r="N219" s="70"/>
      <c r="O219" s="70"/>
      <c r="P219" s="78" t="s">
        <v>77</v>
      </c>
      <c r="Q219" s="346"/>
      <c r="R219" s="42" t="s">
        <v>90</v>
      </c>
      <c r="S219" s="42"/>
      <c r="T219" s="108" t="s">
        <v>39</v>
      </c>
      <c r="U219" s="44" t="s">
        <v>40</v>
      </c>
      <c r="V219" s="412" t="s">
        <v>746</v>
      </c>
    </row>
    <row r="220" spans="2:22" s="45" customFormat="1" ht="12.45" thickTop="1" thickBot="1" x14ac:dyDescent="0.4">
      <c r="B220" s="83">
        <v>9010020014</v>
      </c>
      <c r="C220" s="39" t="s">
        <v>2</v>
      </c>
      <c r="D220" s="26"/>
      <c r="E220" s="26"/>
      <c r="F220" s="26"/>
      <c r="G220" s="93"/>
      <c r="H220" s="93"/>
      <c r="I220" s="93"/>
      <c r="J220" s="93"/>
      <c r="K220" s="93"/>
      <c r="L220" s="93"/>
      <c r="M220" s="93"/>
      <c r="N220" s="93"/>
      <c r="O220" s="109"/>
      <c r="P220" s="84">
        <f>($U$1*R220)*(100%+T220*(100%+U220))</f>
        <v>0</v>
      </c>
      <c r="Q220" s="347"/>
      <c r="R220" s="320">
        <v>1.6</v>
      </c>
      <c r="S220" s="275"/>
      <c r="T220" s="110">
        <v>0.82</v>
      </c>
      <c r="U220" s="348">
        <v>0</v>
      </c>
      <c r="V220" s="413"/>
    </row>
    <row r="221" spans="2:22" s="92" customFormat="1" ht="12.45" thickTop="1" thickBot="1" x14ac:dyDescent="0.4">
      <c r="B221" s="87"/>
      <c r="C221" s="100" t="s">
        <v>36</v>
      </c>
      <c r="D221" s="88"/>
      <c r="E221" s="88"/>
      <c r="F221" s="88"/>
      <c r="G221" s="111"/>
      <c r="H221" s="111"/>
      <c r="I221" s="111"/>
      <c r="J221" s="111"/>
      <c r="K221" s="111"/>
      <c r="L221" s="111"/>
      <c r="M221" s="111"/>
      <c r="N221" s="111"/>
      <c r="O221" s="109"/>
      <c r="P221" s="84">
        <f>($U$1*R221)*(100%+T221*(100%+U221))</f>
        <v>0</v>
      </c>
      <c r="Q221" s="347"/>
      <c r="R221" s="320">
        <v>1.71</v>
      </c>
      <c r="S221" s="276"/>
      <c r="T221" s="110">
        <v>0.67</v>
      </c>
      <c r="U221" s="348">
        <v>0</v>
      </c>
      <c r="V221" s="413"/>
    </row>
    <row r="222" spans="2:22" s="45" customFormat="1" ht="12.45" thickTop="1" thickBot="1" x14ac:dyDescent="0.4">
      <c r="B222" s="83">
        <v>9010020013</v>
      </c>
      <c r="C222" s="39" t="s">
        <v>1</v>
      </c>
      <c r="D222" s="26"/>
      <c r="E222" s="26"/>
      <c r="F222" s="26"/>
      <c r="G222" s="93"/>
      <c r="H222" s="93"/>
      <c r="I222" s="93"/>
      <c r="J222" s="93"/>
      <c r="K222" s="93"/>
      <c r="L222" s="93"/>
      <c r="M222" s="93"/>
      <c r="N222" s="93"/>
      <c r="O222" s="109"/>
      <c r="P222" s="84">
        <f>($U$1*R222)*(100%+T222*(100%+U222))</f>
        <v>0</v>
      </c>
      <c r="Q222" s="347"/>
      <c r="R222" s="320">
        <v>1.71</v>
      </c>
      <c r="S222" s="276"/>
      <c r="T222" s="110">
        <v>0.67</v>
      </c>
      <c r="U222" s="348">
        <v>0</v>
      </c>
      <c r="V222" s="413"/>
    </row>
    <row r="223" spans="2:22" s="45" customFormat="1" ht="12.45" thickTop="1" thickBot="1" x14ac:dyDescent="0.4">
      <c r="B223" s="83">
        <v>9010020015</v>
      </c>
      <c r="C223" s="39" t="s">
        <v>3</v>
      </c>
      <c r="D223" s="26"/>
      <c r="E223" s="26"/>
      <c r="F223" s="26"/>
      <c r="G223" s="93"/>
      <c r="H223" s="93"/>
      <c r="I223" s="93"/>
      <c r="J223" s="93"/>
      <c r="K223" s="93"/>
      <c r="L223" s="93"/>
      <c r="M223" s="93"/>
      <c r="N223" s="93"/>
      <c r="O223" s="109"/>
      <c r="P223" s="84">
        <f>($U$1*R223)*(100%+T223*(100%+U223))</f>
        <v>0</v>
      </c>
      <c r="Q223" s="347"/>
      <c r="R223" s="320">
        <v>2.1800000000000002</v>
      </c>
      <c r="S223" s="276"/>
      <c r="T223" s="110">
        <v>1.1000000000000001</v>
      </c>
      <c r="U223" s="348">
        <v>0</v>
      </c>
      <c r="V223" s="413"/>
    </row>
    <row r="224" spans="2:22" ht="18.45" thickTop="1" x14ac:dyDescent="0.35">
      <c r="N224" s="93"/>
      <c r="O224" s="93"/>
      <c r="P224" s="93"/>
      <c r="V224" s="413"/>
    </row>
    <row r="225" spans="2:22" x14ac:dyDescent="0.35">
      <c r="B225" s="17" t="s">
        <v>11</v>
      </c>
      <c r="N225" s="93"/>
      <c r="O225" s="93"/>
      <c r="P225" s="93"/>
      <c r="V225" s="413"/>
    </row>
    <row r="226" spans="2:22" x14ac:dyDescent="0.35">
      <c r="N226" s="93"/>
      <c r="O226" s="93"/>
      <c r="P226" s="93"/>
      <c r="Q226" s="45"/>
      <c r="R226" s="45"/>
      <c r="S226" s="45"/>
      <c r="V226" s="413"/>
    </row>
    <row r="227" spans="2:22" s="45" customFormat="1" ht="12" thickBot="1" x14ac:dyDescent="0.4">
      <c r="B227" s="26" t="s">
        <v>27</v>
      </c>
      <c r="C227" s="28"/>
      <c r="D227" s="39" t="s">
        <v>86</v>
      </c>
      <c r="E227" s="28"/>
      <c r="F227" s="23"/>
      <c r="G227" s="70"/>
      <c r="H227" s="70"/>
      <c r="I227" s="70"/>
      <c r="J227" s="70"/>
      <c r="K227" s="70"/>
      <c r="L227" s="70"/>
      <c r="M227" s="70"/>
      <c r="N227" s="70"/>
      <c r="O227" s="70"/>
      <c r="P227" s="78" t="s">
        <v>77</v>
      </c>
      <c r="Q227" s="346" t="s">
        <v>90</v>
      </c>
      <c r="R227" s="42" t="s">
        <v>422</v>
      </c>
      <c r="S227" s="42" t="s">
        <v>30</v>
      </c>
      <c r="T227" s="108" t="s">
        <v>39</v>
      </c>
      <c r="U227" s="44" t="s">
        <v>40</v>
      </c>
      <c r="V227" s="413"/>
    </row>
    <row r="228" spans="2:22" s="45" customFormat="1" ht="12.45" thickTop="1" thickBot="1" x14ac:dyDescent="0.4">
      <c r="B228" s="83">
        <v>9010020017</v>
      </c>
      <c r="C228" s="39" t="s">
        <v>15</v>
      </c>
      <c r="D228" s="26"/>
      <c r="E228" s="26"/>
      <c r="F228" s="26"/>
      <c r="G228" s="93"/>
      <c r="H228" s="93"/>
      <c r="I228" s="93"/>
      <c r="J228" s="93"/>
      <c r="K228" s="93"/>
      <c r="L228" s="93"/>
      <c r="M228" s="93"/>
      <c r="N228" s="93"/>
      <c r="O228" s="109"/>
      <c r="P228" s="102">
        <f>($U$1*Q228)*(100%+T228*(100%+U228))</f>
        <v>0</v>
      </c>
      <c r="Q228" s="347">
        <f>R228*(100%-S228)</f>
        <v>1.53468</v>
      </c>
      <c r="R228" s="320">
        <v>2.61</v>
      </c>
      <c r="S228" s="349">
        <v>0.41199999999999998</v>
      </c>
      <c r="T228" s="110">
        <v>0.89</v>
      </c>
      <c r="U228" s="348">
        <v>0</v>
      </c>
      <c r="V228" s="413"/>
    </row>
    <row r="229" spans="2:22" s="92" customFormat="1" ht="12.45" thickTop="1" thickBot="1" x14ac:dyDescent="0.4">
      <c r="B229" s="87"/>
      <c r="C229" s="100" t="s">
        <v>42</v>
      </c>
      <c r="D229" s="88"/>
      <c r="E229" s="88"/>
      <c r="F229" s="88"/>
      <c r="G229" s="111"/>
      <c r="H229" s="111"/>
      <c r="I229" s="111"/>
      <c r="J229" s="111"/>
      <c r="K229" s="111"/>
      <c r="L229" s="111"/>
      <c r="M229" s="111"/>
      <c r="N229" s="111"/>
      <c r="O229" s="112"/>
      <c r="P229" s="91">
        <f>($U$1*Q229)*(100%+T229*(100%+U229))</f>
        <v>0</v>
      </c>
      <c r="Q229" s="347">
        <f t="shared" ref="Q229:Q231" si="88">R229*(100%-S229)</f>
        <v>1.7698800000000001</v>
      </c>
      <c r="R229" s="320">
        <v>3.01</v>
      </c>
      <c r="S229" s="349">
        <v>0.41199999999999998</v>
      </c>
      <c r="T229" s="110">
        <v>0.83</v>
      </c>
      <c r="U229" s="348">
        <v>0</v>
      </c>
      <c r="V229" s="413"/>
    </row>
    <row r="230" spans="2:22" s="45" customFormat="1" ht="12.45" thickTop="1" thickBot="1" x14ac:dyDescent="0.4">
      <c r="B230" s="83">
        <v>9010020016</v>
      </c>
      <c r="C230" s="39" t="s">
        <v>16</v>
      </c>
      <c r="D230" s="26"/>
      <c r="E230" s="26"/>
      <c r="F230" s="26"/>
      <c r="G230" s="93"/>
      <c r="H230" s="93"/>
      <c r="I230" s="93"/>
      <c r="J230" s="93"/>
      <c r="K230" s="93"/>
      <c r="L230" s="93"/>
      <c r="M230" s="93"/>
      <c r="N230" s="93"/>
      <c r="O230" s="109"/>
      <c r="P230" s="102">
        <f>($U$1*Q230)*(100%+T230*(100%+U230))</f>
        <v>0</v>
      </c>
      <c r="Q230" s="347">
        <f t="shared" si="88"/>
        <v>2.0344800000000003</v>
      </c>
      <c r="R230" s="320">
        <v>3.46</v>
      </c>
      <c r="S230" s="349">
        <v>0.41199999999999998</v>
      </c>
      <c r="T230" s="110">
        <v>0.83</v>
      </c>
      <c r="U230" s="348">
        <v>0</v>
      </c>
      <c r="V230" s="413"/>
    </row>
    <row r="231" spans="2:22" s="45" customFormat="1" ht="12.45" thickTop="1" thickBot="1" x14ac:dyDescent="0.4">
      <c r="B231" s="83">
        <v>9010020018</v>
      </c>
      <c r="C231" s="39" t="s">
        <v>17</v>
      </c>
      <c r="D231" s="26"/>
      <c r="E231" s="26"/>
      <c r="F231" s="26"/>
      <c r="G231" s="93"/>
      <c r="H231" s="93"/>
      <c r="I231" s="93"/>
      <c r="J231" s="93"/>
      <c r="K231" s="93"/>
      <c r="L231" s="93"/>
      <c r="M231" s="93"/>
      <c r="N231" s="93"/>
      <c r="O231" s="109"/>
      <c r="P231" s="102">
        <f>($U$1*Q231)*(100%+T231*(100%+U231))</f>
        <v>0</v>
      </c>
      <c r="Q231" s="347">
        <f t="shared" si="88"/>
        <v>2.8106400000000007</v>
      </c>
      <c r="R231" s="320">
        <v>4.78</v>
      </c>
      <c r="S231" s="349">
        <v>0.41199999999999998</v>
      </c>
      <c r="T231" s="110">
        <v>0.75</v>
      </c>
      <c r="U231" s="348">
        <v>0</v>
      </c>
      <c r="V231" s="413"/>
    </row>
    <row r="232" spans="2:22" ht="18.45" thickTop="1" x14ac:dyDescent="0.35">
      <c r="R232" s="312"/>
      <c r="S232" s="312"/>
      <c r="U232" s="312"/>
      <c r="V232" s="413"/>
    </row>
    <row r="233" spans="2:22" x14ac:dyDescent="0.35">
      <c r="B233" s="17" t="s">
        <v>598</v>
      </c>
      <c r="U233" s="312"/>
      <c r="V233" s="413"/>
    </row>
    <row r="234" spans="2:22" x14ac:dyDescent="0.35">
      <c r="P234" s="45"/>
      <c r="Q234" s="45"/>
      <c r="R234" s="45"/>
      <c r="S234" s="45"/>
      <c r="U234" s="312"/>
      <c r="V234" s="413"/>
    </row>
    <row r="235" spans="2:22" s="45" customFormat="1" ht="12" thickBot="1" x14ac:dyDescent="0.4">
      <c r="B235" s="26" t="s">
        <v>27</v>
      </c>
      <c r="C235" s="28"/>
      <c r="D235" s="39" t="s">
        <v>86</v>
      </c>
      <c r="E235" s="28"/>
      <c r="F235" s="23"/>
      <c r="G235" s="70"/>
      <c r="H235" s="70"/>
      <c r="I235" s="70"/>
      <c r="J235" s="70"/>
      <c r="K235" s="70"/>
      <c r="L235" s="70"/>
      <c r="M235" s="70"/>
      <c r="N235" s="70"/>
      <c r="O235" s="70"/>
      <c r="P235" s="78" t="s">
        <v>77</v>
      </c>
      <c r="Q235" s="346" t="s">
        <v>90</v>
      </c>
      <c r="R235" s="42" t="s">
        <v>422</v>
      </c>
      <c r="S235" s="42" t="s">
        <v>30</v>
      </c>
      <c r="T235" s="108" t="s">
        <v>39</v>
      </c>
      <c r="U235" s="350" t="s">
        <v>40</v>
      </c>
      <c r="V235" s="413"/>
    </row>
    <row r="236" spans="2:22" s="45" customFormat="1" ht="12.45" thickTop="1" thickBot="1" x14ac:dyDescent="0.4">
      <c r="B236" s="83">
        <v>9010020020</v>
      </c>
      <c r="C236" s="39" t="s">
        <v>15</v>
      </c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59"/>
      <c r="P236" s="84">
        <f>($U$1*Q236)*(100%+T236*(100%+U236))</f>
        <v>0</v>
      </c>
      <c r="Q236" s="347">
        <f>R236*(100%-S236)</f>
        <v>12.869850000000001</v>
      </c>
      <c r="R236" s="320">
        <v>25.75</v>
      </c>
      <c r="S236" s="349">
        <v>0.50019999999999998</v>
      </c>
      <c r="T236" s="110">
        <v>0.55000000000000004</v>
      </c>
      <c r="U236" s="348">
        <v>0</v>
      </c>
      <c r="V236" s="413"/>
    </row>
    <row r="237" spans="2:22" s="92" customFormat="1" ht="12.45" thickTop="1" thickBot="1" x14ac:dyDescent="0.4">
      <c r="B237" s="87"/>
      <c r="C237" s="100" t="s">
        <v>42</v>
      </c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90"/>
      <c r="P237" s="91">
        <f>($U$1*Q237)*(100%+T237*(100%+U237))</f>
        <v>0</v>
      </c>
      <c r="Q237" s="347">
        <f t="shared" ref="Q237:Q239" si="89">R237*(100%-S237)</f>
        <v>13.114751999999999</v>
      </c>
      <c r="R237" s="320">
        <v>26.24</v>
      </c>
      <c r="S237" s="349">
        <v>0.50019999999999998</v>
      </c>
      <c r="T237" s="110">
        <v>0.82099999999999995</v>
      </c>
      <c r="U237" s="348">
        <v>0</v>
      </c>
      <c r="V237" s="413"/>
    </row>
    <row r="238" spans="2:22" s="45" customFormat="1" ht="12.45" thickTop="1" thickBot="1" x14ac:dyDescent="0.4">
      <c r="B238" s="83">
        <v>9010020019</v>
      </c>
      <c r="C238" s="39" t="s">
        <v>16</v>
      </c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59"/>
      <c r="P238" s="84">
        <f>($U$1*Q238)*(100%+T238*(100%+U238))</f>
        <v>0</v>
      </c>
      <c r="Q238" s="347">
        <f t="shared" si="89"/>
        <v>15.4938</v>
      </c>
      <c r="R238" s="320">
        <v>31</v>
      </c>
      <c r="S238" s="349">
        <v>0.50019999999999998</v>
      </c>
      <c r="T238" s="110">
        <v>0.82499999999999996</v>
      </c>
      <c r="U238" s="348">
        <v>0</v>
      </c>
      <c r="V238" s="413"/>
    </row>
    <row r="239" spans="2:22" s="45" customFormat="1" ht="12.45" customHeight="1" thickTop="1" thickBot="1" x14ac:dyDescent="0.4">
      <c r="B239" s="83">
        <v>9010020021</v>
      </c>
      <c r="C239" s="39" t="s">
        <v>17</v>
      </c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59"/>
      <c r="P239" s="84">
        <f>($U$1*Q239)*(100%+T239*(100%+U239))</f>
        <v>0</v>
      </c>
      <c r="Q239" s="347">
        <f t="shared" si="89"/>
        <v>19.012392000000002</v>
      </c>
      <c r="R239" s="320">
        <v>38.04</v>
      </c>
      <c r="S239" s="349">
        <v>0.50019999999999998</v>
      </c>
      <c r="T239" s="110">
        <v>0.755</v>
      </c>
      <c r="U239" s="348">
        <v>0</v>
      </c>
      <c r="V239" s="413"/>
    </row>
    <row r="240" spans="2:22" ht="18.45" thickTop="1" x14ac:dyDescent="0.35">
      <c r="P240" s="93"/>
      <c r="V240" s="413"/>
    </row>
    <row r="241" spans="2:22" x14ac:dyDescent="0.35">
      <c r="B241" s="17" t="s">
        <v>599</v>
      </c>
      <c r="P241" s="93"/>
      <c r="V241" s="413"/>
    </row>
    <row r="242" spans="2:22" x14ac:dyDescent="0.35">
      <c r="P242" s="93"/>
      <c r="Q242" s="45"/>
      <c r="R242" s="45"/>
      <c r="S242" s="45"/>
      <c r="V242" s="413"/>
    </row>
    <row r="243" spans="2:22" s="45" customFormat="1" ht="12" thickBot="1" x14ac:dyDescent="0.4">
      <c r="B243" s="26" t="s">
        <v>27</v>
      </c>
      <c r="C243" s="28"/>
      <c r="D243" s="39" t="s">
        <v>86</v>
      </c>
      <c r="E243" s="28"/>
      <c r="F243" s="23"/>
      <c r="G243" s="70"/>
      <c r="H243" s="70"/>
      <c r="I243" s="70"/>
      <c r="J243" s="70"/>
      <c r="K243" s="70"/>
      <c r="L243" s="70"/>
      <c r="M243" s="70"/>
      <c r="N243" s="70"/>
      <c r="O243" s="70"/>
      <c r="P243" s="78" t="s">
        <v>77</v>
      </c>
      <c r="Q243" s="346" t="s">
        <v>90</v>
      </c>
      <c r="R243" s="42" t="s">
        <v>422</v>
      </c>
      <c r="S243" s="42" t="s">
        <v>30</v>
      </c>
      <c r="T243" s="108" t="s">
        <v>39</v>
      </c>
      <c r="U243" s="44" t="s">
        <v>40</v>
      </c>
      <c r="V243" s="413"/>
    </row>
    <row r="244" spans="2:22" s="45" customFormat="1" ht="12.45" thickTop="1" thickBot="1" x14ac:dyDescent="0.4">
      <c r="B244" s="83">
        <v>9010020023</v>
      </c>
      <c r="C244" s="39" t="s">
        <v>15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59"/>
      <c r="P244" s="84">
        <f>($U$1*Q244)*(100%+T244*(100%+U244))</f>
        <v>0</v>
      </c>
      <c r="Q244" s="347">
        <f>R244*(100%-S244)</f>
        <v>14.824068</v>
      </c>
      <c r="R244" s="320">
        <v>29.66</v>
      </c>
      <c r="S244" s="349">
        <v>0.50019999999999998</v>
      </c>
      <c r="T244" s="110">
        <v>0.89</v>
      </c>
      <c r="U244" s="289">
        <v>0</v>
      </c>
      <c r="V244" s="413"/>
    </row>
    <row r="245" spans="2:22" s="92" customFormat="1" ht="12.45" customHeight="1" thickTop="1" thickBot="1" x14ac:dyDescent="0.4">
      <c r="B245" s="87"/>
      <c r="C245" s="100" t="s">
        <v>42</v>
      </c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90"/>
      <c r="P245" s="91">
        <f>($U$1*Q245)*(100%+T245*(100%+U245))</f>
        <v>0</v>
      </c>
      <c r="Q245" s="347">
        <f t="shared" ref="Q245:Q247" si="90">R245*(100%-S245)</f>
        <v>16.803276</v>
      </c>
      <c r="R245" s="320">
        <v>33.619999999999997</v>
      </c>
      <c r="S245" s="349">
        <v>0.50019999999999998</v>
      </c>
      <c r="T245" s="110">
        <v>0.89</v>
      </c>
      <c r="U245" s="289">
        <v>0</v>
      </c>
      <c r="V245" s="413"/>
    </row>
    <row r="246" spans="2:22" s="45" customFormat="1" ht="12.45" customHeight="1" thickTop="1" thickBot="1" x14ac:dyDescent="0.4">
      <c r="B246" s="83">
        <v>9010020022</v>
      </c>
      <c r="C246" s="39" t="s">
        <v>16</v>
      </c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59"/>
      <c r="P246" s="84">
        <f>($U$1*Q246)*(100%+T246*(100%+U246))</f>
        <v>0</v>
      </c>
      <c r="Q246" s="347">
        <f t="shared" si="90"/>
        <v>16.803276</v>
      </c>
      <c r="R246" s="320">
        <v>33.619999999999997</v>
      </c>
      <c r="S246" s="349">
        <v>0.50019999999999998</v>
      </c>
      <c r="T246" s="110">
        <v>0.87</v>
      </c>
      <c r="U246" s="289">
        <v>0</v>
      </c>
      <c r="V246" s="413"/>
    </row>
    <row r="247" spans="2:22" s="45" customFormat="1" ht="12.45" customHeight="1" thickTop="1" thickBot="1" x14ac:dyDescent="0.4">
      <c r="B247" s="83">
        <v>9010020024</v>
      </c>
      <c r="C247" s="39" t="s">
        <v>17</v>
      </c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59"/>
      <c r="P247" s="84">
        <f>($U$1*Q247)*(100%+T247*(100%+U247))</f>
        <v>0</v>
      </c>
      <c r="Q247" s="347">
        <f t="shared" si="90"/>
        <v>20.506794000000003</v>
      </c>
      <c r="R247" s="320">
        <v>41.03</v>
      </c>
      <c r="S247" s="349">
        <v>0.50019999999999998</v>
      </c>
      <c r="T247" s="110">
        <v>1</v>
      </c>
      <c r="U247" s="289">
        <v>0</v>
      </c>
      <c r="V247" s="414"/>
    </row>
    <row r="248" spans="2:22" s="45" customFormat="1" ht="12.45" customHeight="1" thickTop="1" x14ac:dyDescent="0.35">
      <c r="B248" s="39"/>
      <c r="C248" s="39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93"/>
      <c r="O248" s="93"/>
      <c r="P248" s="93"/>
      <c r="Q248" s="19"/>
      <c r="R248" s="86"/>
      <c r="S248" s="110"/>
    </row>
    <row r="249" spans="2:22" s="45" customFormat="1" ht="12.45" customHeight="1" x14ac:dyDescent="0.35">
      <c r="B249" s="39"/>
      <c r="C249" s="39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93"/>
      <c r="O249" s="93"/>
      <c r="P249" s="93"/>
      <c r="Q249" s="19"/>
      <c r="R249" s="86"/>
      <c r="S249" s="110"/>
    </row>
    <row r="250" spans="2:22" s="45" customFormat="1" ht="12.45" customHeight="1" x14ac:dyDescent="0.35">
      <c r="B250" s="39"/>
      <c r="C250" s="39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93"/>
      <c r="O250" s="93"/>
      <c r="P250" s="93"/>
      <c r="Q250" s="19"/>
      <c r="R250" s="86"/>
      <c r="S250" s="110"/>
    </row>
    <row r="251" spans="2:22" s="45" customFormat="1" ht="12.45" customHeight="1" x14ac:dyDescent="0.35">
      <c r="B251" s="39"/>
      <c r="C251" s="39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93"/>
      <c r="O251" s="93"/>
      <c r="P251" s="93"/>
      <c r="Q251" s="19"/>
      <c r="R251" s="86"/>
      <c r="S251" s="110"/>
    </row>
    <row r="252" spans="2:22" s="45" customFormat="1" ht="12.45" customHeight="1" x14ac:dyDescent="0.35">
      <c r="B252" s="39"/>
      <c r="C252" s="39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93"/>
      <c r="O252" s="93"/>
      <c r="P252" s="93"/>
      <c r="Q252" s="19"/>
      <c r="R252" s="86"/>
      <c r="S252" s="110"/>
    </row>
    <row r="253" spans="2:22" x14ac:dyDescent="0.35">
      <c r="B253" s="17" t="s">
        <v>600</v>
      </c>
      <c r="N253" s="93"/>
      <c r="O253" s="93"/>
      <c r="P253" s="93"/>
    </row>
    <row r="254" spans="2:22" x14ac:dyDescent="0.35">
      <c r="N254" s="93"/>
      <c r="O254" s="93"/>
      <c r="P254" s="93"/>
      <c r="Q254" s="45"/>
      <c r="R254" s="45"/>
    </row>
    <row r="255" spans="2:22" s="45" customFormat="1" x14ac:dyDescent="0.35">
      <c r="B255" s="26" t="s">
        <v>27</v>
      </c>
      <c r="C255" s="28"/>
      <c r="D255" s="26" t="s">
        <v>29</v>
      </c>
      <c r="E255" s="28"/>
      <c r="F255" s="39"/>
      <c r="G255" s="67">
        <v>601</v>
      </c>
      <c r="H255" s="76">
        <f t="shared" ref="H255:N255" si="91">G256+1</f>
        <v>651</v>
      </c>
      <c r="I255" s="76">
        <f t="shared" si="91"/>
        <v>701</v>
      </c>
      <c r="J255" s="76">
        <f t="shared" si="91"/>
        <v>751</v>
      </c>
      <c r="K255" s="76">
        <f t="shared" si="91"/>
        <v>801</v>
      </c>
      <c r="L255" s="76">
        <f t="shared" si="91"/>
        <v>851</v>
      </c>
      <c r="M255" s="76">
        <f t="shared" si="91"/>
        <v>901</v>
      </c>
      <c r="N255" s="286">
        <f t="shared" si="91"/>
        <v>951</v>
      </c>
      <c r="O255" s="286">
        <f>N256+1</f>
        <v>1001</v>
      </c>
      <c r="P255" s="286">
        <f>O256+1</f>
        <v>1051</v>
      </c>
      <c r="S255" s="176" t="s">
        <v>22</v>
      </c>
      <c r="T255" s="53">
        <f>W1</f>
        <v>49</v>
      </c>
      <c r="U255" s="19"/>
    </row>
    <row r="256" spans="2:22" s="45" customFormat="1" ht="11.6" x14ac:dyDescent="0.35">
      <c r="C256" s="28"/>
      <c r="D256" s="27"/>
      <c r="E256" s="28"/>
      <c r="F256" s="23" t="s">
        <v>26</v>
      </c>
      <c r="G256" s="96">
        <f t="shared" ref="G256:M256" si="92">G255+$T$255</f>
        <v>650</v>
      </c>
      <c r="H256" s="96">
        <f t="shared" si="92"/>
        <v>700</v>
      </c>
      <c r="I256" s="96">
        <f t="shared" si="92"/>
        <v>750</v>
      </c>
      <c r="J256" s="96">
        <f t="shared" si="92"/>
        <v>800</v>
      </c>
      <c r="K256" s="96">
        <f t="shared" si="92"/>
        <v>850</v>
      </c>
      <c r="L256" s="96">
        <f t="shared" si="92"/>
        <v>900</v>
      </c>
      <c r="M256" s="96">
        <f t="shared" si="92"/>
        <v>950</v>
      </c>
      <c r="N256" s="283">
        <f>N255+$T$255</f>
        <v>1000</v>
      </c>
      <c r="O256" s="283">
        <f>O255+$T$255</f>
        <v>1050</v>
      </c>
      <c r="P256" s="283">
        <f>P255+$T$255</f>
        <v>1100</v>
      </c>
    </row>
    <row r="257" spans="2:21" s="45" customFormat="1" ht="11.6" x14ac:dyDescent="0.35">
      <c r="B257" s="26"/>
      <c r="C257" s="28"/>
      <c r="D257" s="39"/>
      <c r="E257" s="28"/>
      <c r="F257" s="23"/>
      <c r="G257" s="96"/>
      <c r="H257" s="96"/>
      <c r="I257" s="96"/>
      <c r="J257" s="96"/>
      <c r="K257" s="96"/>
      <c r="L257" s="96"/>
      <c r="M257" s="96"/>
      <c r="N257" s="48"/>
      <c r="O257" s="288"/>
      <c r="P257" s="288"/>
      <c r="R257" s="45" t="s">
        <v>101</v>
      </c>
      <c r="S257" s="52" t="s">
        <v>103</v>
      </c>
    </row>
    <row r="258" spans="2:21" s="45" customFormat="1" ht="12.45" customHeight="1" x14ac:dyDescent="0.35">
      <c r="B258" s="83">
        <v>9010030001</v>
      </c>
      <c r="C258" s="39" t="s">
        <v>43</v>
      </c>
      <c r="D258" s="26"/>
      <c r="E258" s="26"/>
      <c r="F258" s="26"/>
      <c r="G258" s="84">
        <f>$U$1*$G$256*S258/100</f>
        <v>0</v>
      </c>
      <c r="H258" s="84">
        <f>$U$1*$H$256*S258/100</f>
        <v>0</v>
      </c>
      <c r="I258" s="84">
        <f>$U$1*$I$256*S258/100</f>
        <v>0</v>
      </c>
      <c r="J258" s="84">
        <f>$U$1*$J$256*S258/100</f>
        <v>0</v>
      </c>
      <c r="K258" s="84">
        <f>$U$1*$K$256*S258/100</f>
        <v>0</v>
      </c>
      <c r="L258" s="84">
        <f>$U$1*$L$256*S258/100</f>
        <v>0</v>
      </c>
      <c r="M258" s="84">
        <f>$U$1*$M$256*S258/100</f>
        <v>0</v>
      </c>
      <c r="N258" s="287">
        <f>$U$1*31</f>
        <v>0</v>
      </c>
      <c r="O258" s="287">
        <f>$U$1*$O$256*S258/100</f>
        <v>0</v>
      </c>
      <c r="P258" s="287">
        <f>$U$1*$P$256*S258/100</f>
        <v>0</v>
      </c>
      <c r="R258" s="45">
        <v>12.72</v>
      </c>
      <c r="S258" s="44">
        <v>3.1</v>
      </c>
    </row>
    <row r="259" spans="2:21" s="101" customFormat="1" ht="12.45" customHeight="1" x14ac:dyDescent="0.35">
      <c r="B259" s="103">
        <v>9010030002</v>
      </c>
      <c r="C259" s="82" t="s">
        <v>44</v>
      </c>
      <c r="D259" s="52"/>
      <c r="E259" s="52"/>
      <c r="F259" s="52"/>
      <c r="G259" s="84">
        <f>$U$1*$G$256*S259/100</f>
        <v>0</v>
      </c>
      <c r="H259" s="84">
        <f>$U$1*$H$256*S259/100</f>
        <v>0</v>
      </c>
      <c r="I259" s="84">
        <f>$U$1*$I$256*S259/100</f>
        <v>0</v>
      </c>
      <c r="J259" s="84">
        <f>$U$1*$J$256*S259/100</f>
        <v>0</v>
      </c>
      <c r="K259" s="84">
        <f>$U$1*$K$256*S259/100</f>
        <v>0</v>
      </c>
      <c r="L259" s="84">
        <f>$U$1*$L$256*S259/100</f>
        <v>0</v>
      </c>
      <c r="M259" s="84">
        <f>$U$1*$M$256*S259/100</f>
        <v>0</v>
      </c>
      <c r="N259" s="93">
        <f>$U$1*15.81</f>
        <v>0</v>
      </c>
      <c r="O259" s="287">
        <f>$U$1*$O$256*S259/100</f>
        <v>0</v>
      </c>
      <c r="P259" s="287">
        <f>$U$1*$P$256*S259/100</f>
        <v>0</v>
      </c>
      <c r="R259" s="113">
        <v>6.89</v>
      </c>
      <c r="S259" s="114">
        <v>1.581</v>
      </c>
      <c r="T259" s="92"/>
    </row>
    <row r="260" spans="2:21" s="92" customFormat="1" ht="12.45" customHeight="1" x14ac:dyDescent="0.35">
      <c r="B260" s="87"/>
      <c r="C260" s="100" t="s">
        <v>47</v>
      </c>
      <c r="D260" s="88"/>
      <c r="E260" s="88"/>
      <c r="F260" s="88"/>
      <c r="G260" s="91">
        <f>$U$1*$G$256*S260/100</f>
        <v>0</v>
      </c>
      <c r="H260" s="91">
        <f>$U$1*$H$256*S260/100</f>
        <v>0</v>
      </c>
      <c r="I260" s="91">
        <f>$U$1*$I$256*S260/100</f>
        <v>0</v>
      </c>
      <c r="J260" s="91">
        <f>$U$1*$J$256*S260/100</f>
        <v>0</v>
      </c>
      <c r="K260" s="91">
        <f>$U$1*$K$256*S260/100</f>
        <v>0</v>
      </c>
      <c r="L260" s="91">
        <f>$U$1*$L$256*S260/100</f>
        <v>0</v>
      </c>
      <c r="M260" s="91">
        <f>$U$1*$M$256*S260/100</f>
        <v>0</v>
      </c>
      <c r="N260" s="111">
        <f>$U$1*18.87</f>
        <v>0</v>
      </c>
      <c r="O260" s="281">
        <f>$U$1*$O$256*S260/100</f>
        <v>0</v>
      </c>
      <c r="P260" s="281">
        <f>$U$1*$P$256*S260/100</f>
        <v>0</v>
      </c>
      <c r="R260" s="113">
        <v>7.85</v>
      </c>
      <c r="S260" s="114">
        <v>1.887</v>
      </c>
    </row>
    <row r="261" spans="2:21" s="45" customFormat="1" ht="12.45" customHeight="1" x14ac:dyDescent="0.35">
      <c r="B261" s="83">
        <v>9010030003</v>
      </c>
      <c r="C261" s="39" t="s">
        <v>45</v>
      </c>
      <c r="D261" s="26"/>
      <c r="E261" s="26"/>
      <c r="F261" s="26"/>
      <c r="G261" s="84">
        <f>$U$1*$G$256*S261/100</f>
        <v>0</v>
      </c>
      <c r="H261" s="84">
        <f>$U$1*$H$256*S261/100</f>
        <v>0</v>
      </c>
      <c r="I261" s="84">
        <f>$U$1*$I$256*S261/100</f>
        <v>0</v>
      </c>
      <c r="J261" s="84">
        <f>$U$1*$J$256*S261/100</f>
        <v>0</v>
      </c>
      <c r="K261" s="84">
        <f>$U$1*$K$256*S261/100</f>
        <v>0</v>
      </c>
      <c r="L261" s="84">
        <f>$U$1*$L$256*S261/100</f>
        <v>0</v>
      </c>
      <c r="M261" s="84">
        <f>$U$1*$M$256*S261/100</f>
        <v>0</v>
      </c>
      <c r="N261" s="93">
        <f>$U$1*18.87</f>
        <v>0</v>
      </c>
      <c r="O261" s="287">
        <f>$U$1*$O$256*S261/100</f>
        <v>0</v>
      </c>
      <c r="P261" s="287">
        <f>$U$1*$P$256*S261/100</f>
        <v>0</v>
      </c>
      <c r="R261" s="113">
        <v>7.58</v>
      </c>
      <c r="S261" s="114">
        <v>1.887</v>
      </c>
      <c r="T261" s="92"/>
    </row>
    <row r="262" spans="2:21" s="45" customFormat="1" ht="12.45" customHeight="1" x14ac:dyDescent="0.35">
      <c r="B262" s="83">
        <v>9010030004</v>
      </c>
      <c r="C262" s="39" t="s">
        <v>46</v>
      </c>
      <c r="D262" s="26"/>
      <c r="E262" s="26"/>
      <c r="F262" s="26"/>
      <c r="G262" s="84">
        <f>$U$1*$G$256*S262/100</f>
        <v>0</v>
      </c>
      <c r="H262" s="84">
        <f>$U$1*$H$256*S262/100</f>
        <v>0</v>
      </c>
      <c r="I262" s="84">
        <f>$U$1*$I$256*S262/100</f>
        <v>0</v>
      </c>
      <c r="J262" s="84">
        <f>$U$1*$J$256*S262/100</f>
        <v>0</v>
      </c>
      <c r="K262" s="84">
        <f>$U$1*$K$256*S262/100</f>
        <v>0</v>
      </c>
      <c r="L262" s="84">
        <f>$U$1*$L$256*S262/100</f>
        <v>0</v>
      </c>
      <c r="M262" s="84">
        <f>$U$1*$M$256*S262/100</f>
        <v>0</v>
      </c>
      <c r="N262" s="93">
        <f>$U$1*37.48</f>
        <v>0</v>
      </c>
      <c r="O262" s="287">
        <f>$U$1*$O$256*S262/100</f>
        <v>0</v>
      </c>
      <c r="P262" s="287">
        <f>$U$1*$P$256*S262/100</f>
        <v>0</v>
      </c>
      <c r="Q262" s="19"/>
      <c r="R262" s="113">
        <v>16.57</v>
      </c>
      <c r="S262" s="114">
        <v>3.7480000000000002</v>
      </c>
      <c r="T262" s="101"/>
    </row>
    <row r="263" spans="2:21" x14ac:dyDescent="0.35">
      <c r="N263" s="93"/>
      <c r="O263" s="93"/>
      <c r="P263" s="93"/>
      <c r="R263" s="113"/>
      <c r="S263" s="101"/>
      <c r="T263" s="45"/>
    </row>
    <row r="264" spans="2:21" x14ac:dyDescent="0.35">
      <c r="N264" s="93"/>
      <c r="O264" s="93"/>
      <c r="P264" s="93"/>
      <c r="R264" s="113"/>
      <c r="S264" s="101"/>
      <c r="T264" s="45"/>
    </row>
    <row r="265" spans="2:21" x14ac:dyDescent="0.35">
      <c r="B265" s="17" t="s">
        <v>601</v>
      </c>
      <c r="N265" s="93"/>
      <c r="O265" s="93"/>
      <c r="P265" s="93"/>
      <c r="R265" s="113"/>
      <c r="S265" s="101"/>
    </row>
    <row r="266" spans="2:21" x14ac:dyDescent="0.35">
      <c r="N266" s="93"/>
      <c r="O266" s="93"/>
      <c r="P266" s="93"/>
      <c r="Q266" s="45"/>
      <c r="R266" s="45"/>
    </row>
    <row r="267" spans="2:21" s="45" customFormat="1" x14ac:dyDescent="0.35">
      <c r="B267" s="26" t="s">
        <v>27</v>
      </c>
      <c r="C267" s="28"/>
      <c r="D267" s="26" t="s">
        <v>29</v>
      </c>
      <c r="E267" s="28"/>
      <c r="F267" s="39"/>
      <c r="G267" s="67">
        <v>601</v>
      </c>
      <c r="H267" s="76">
        <f t="shared" ref="H267:N267" si="93">G268+1</f>
        <v>651</v>
      </c>
      <c r="I267" s="76">
        <f t="shared" si="93"/>
        <v>701</v>
      </c>
      <c r="J267" s="76">
        <f t="shared" si="93"/>
        <v>751</v>
      </c>
      <c r="K267" s="76">
        <f t="shared" si="93"/>
        <v>801</v>
      </c>
      <c r="L267" s="76">
        <f t="shared" si="93"/>
        <v>851</v>
      </c>
      <c r="M267" s="76">
        <f t="shared" si="93"/>
        <v>901</v>
      </c>
      <c r="N267" s="286">
        <f t="shared" si="93"/>
        <v>951</v>
      </c>
      <c r="O267" s="286">
        <f>N268+1</f>
        <v>1001</v>
      </c>
      <c r="P267" s="286">
        <f>O268+1</f>
        <v>1051</v>
      </c>
      <c r="S267" s="176" t="s">
        <v>22</v>
      </c>
      <c r="T267" s="53">
        <f>W1</f>
        <v>49</v>
      </c>
      <c r="U267" s="19"/>
    </row>
    <row r="268" spans="2:21" s="45" customFormat="1" ht="11.6" x14ac:dyDescent="0.35">
      <c r="C268" s="28"/>
      <c r="D268" s="27"/>
      <c r="E268" s="28"/>
      <c r="F268" s="23" t="s">
        <v>26</v>
      </c>
      <c r="G268" s="96">
        <f t="shared" ref="G268:M268" si="94">G267+$T$267</f>
        <v>650</v>
      </c>
      <c r="H268" s="96">
        <f t="shared" si="94"/>
        <v>700</v>
      </c>
      <c r="I268" s="96">
        <f t="shared" si="94"/>
        <v>750</v>
      </c>
      <c r="J268" s="96">
        <f t="shared" si="94"/>
        <v>800</v>
      </c>
      <c r="K268" s="96">
        <f t="shared" si="94"/>
        <v>850</v>
      </c>
      <c r="L268" s="96">
        <f t="shared" si="94"/>
        <v>900</v>
      </c>
      <c r="M268" s="96">
        <f t="shared" si="94"/>
        <v>950</v>
      </c>
      <c r="N268" s="283">
        <f>N267+$T$267</f>
        <v>1000</v>
      </c>
      <c r="O268" s="283">
        <f>O267+$T$267</f>
        <v>1050</v>
      </c>
      <c r="P268" s="283">
        <f>P267+$T$267</f>
        <v>1100</v>
      </c>
    </row>
    <row r="269" spans="2:21" s="45" customFormat="1" ht="11.6" x14ac:dyDescent="0.35">
      <c r="B269" s="26"/>
      <c r="C269" s="28"/>
      <c r="D269" s="39"/>
      <c r="E269" s="28"/>
      <c r="F269" s="23"/>
      <c r="G269" s="96"/>
      <c r="H269" s="96"/>
      <c r="I269" s="96"/>
      <c r="J269" s="96"/>
      <c r="K269" s="96"/>
      <c r="L269" s="96"/>
      <c r="M269" s="96"/>
      <c r="N269" s="48"/>
      <c r="O269" s="288"/>
      <c r="P269" s="288"/>
      <c r="R269" s="45" t="s">
        <v>101</v>
      </c>
      <c r="S269" s="52" t="s">
        <v>103</v>
      </c>
    </row>
    <row r="270" spans="2:21" s="101" customFormat="1" ht="12.45" customHeight="1" x14ac:dyDescent="0.35">
      <c r="B270" s="103">
        <v>9010030005</v>
      </c>
      <c r="C270" s="82" t="s">
        <v>44</v>
      </c>
      <c r="D270" s="52"/>
      <c r="E270" s="52"/>
      <c r="F270" s="52"/>
      <c r="G270" s="84">
        <f t="shared" ref="G270:M270" si="95">$U$1*G268*$S$270/100</f>
        <v>0</v>
      </c>
      <c r="H270" s="84">
        <f t="shared" si="95"/>
        <v>0</v>
      </c>
      <c r="I270" s="84">
        <f t="shared" si="95"/>
        <v>0</v>
      </c>
      <c r="J270" s="84">
        <f t="shared" si="95"/>
        <v>0</v>
      </c>
      <c r="K270" s="84">
        <f t="shared" si="95"/>
        <v>0</v>
      </c>
      <c r="L270" s="84">
        <f t="shared" si="95"/>
        <v>0</v>
      </c>
      <c r="M270" s="84">
        <f t="shared" si="95"/>
        <v>0</v>
      </c>
      <c r="N270" s="93">
        <f>$U$1*28.82</f>
        <v>0</v>
      </c>
      <c r="O270" s="287">
        <f>$U$1*$O$268*S270/100</f>
        <v>0</v>
      </c>
      <c r="P270" s="287">
        <f>$U$1*$P$268*S270/100</f>
        <v>0</v>
      </c>
      <c r="R270" s="115">
        <v>12.99</v>
      </c>
      <c r="S270" s="44">
        <v>2.8820000000000001</v>
      </c>
      <c r="T270" s="92"/>
    </row>
    <row r="271" spans="2:21" s="92" customFormat="1" ht="12.45" customHeight="1" x14ac:dyDescent="0.35">
      <c r="B271" s="87"/>
      <c r="C271" s="100" t="s">
        <v>47</v>
      </c>
      <c r="D271" s="88"/>
      <c r="E271" s="88"/>
      <c r="F271" s="88"/>
      <c r="G271" s="91">
        <f t="shared" ref="G271:M271" si="96">$U$1*G268*$S$271/100</f>
        <v>0</v>
      </c>
      <c r="H271" s="91">
        <f t="shared" si="96"/>
        <v>0</v>
      </c>
      <c r="I271" s="91">
        <f t="shared" si="96"/>
        <v>0</v>
      </c>
      <c r="J271" s="91">
        <f t="shared" si="96"/>
        <v>0</v>
      </c>
      <c r="K271" s="91">
        <f t="shared" si="96"/>
        <v>0</v>
      </c>
      <c r="L271" s="91">
        <f t="shared" si="96"/>
        <v>0</v>
      </c>
      <c r="M271" s="91">
        <f t="shared" si="96"/>
        <v>0</v>
      </c>
      <c r="N271" s="111">
        <f>$U$1*44.95</f>
        <v>0</v>
      </c>
      <c r="O271" s="281">
        <f>$U$1*$O$268*S271/100</f>
        <v>0</v>
      </c>
      <c r="P271" s="281">
        <f>$U$1*$P$268*S271/100</f>
        <v>0</v>
      </c>
      <c r="R271" s="115">
        <v>18.850000000000001</v>
      </c>
      <c r="S271" s="44">
        <v>4.4950000000000001</v>
      </c>
    </row>
    <row r="272" spans="2:21" s="45" customFormat="1" ht="12.45" customHeight="1" x14ac:dyDescent="0.35">
      <c r="B272" s="83">
        <v>9010030006</v>
      </c>
      <c r="C272" s="39" t="s">
        <v>45</v>
      </c>
      <c r="D272" s="26"/>
      <c r="E272" s="26"/>
      <c r="F272" s="26"/>
      <c r="G272" s="102">
        <f t="shared" ref="G272:M272" si="97">$U$1*G268*$S$272/100</f>
        <v>0</v>
      </c>
      <c r="H272" s="102">
        <f t="shared" si="97"/>
        <v>0</v>
      </c>
      <c r="I272" s="102">
        <f t="shared" si="97"/>
        <v>0</v>
      </c>
      <c r="J272" s="102">
        <f t="shared" si="97"/>
        <v>0</v>
      </c>
      <c r="K272" s="102">
        <f t="shared" si="97"/>
        <v>0</v>
      </c>
      <c r="L272" s="102">
        <f t="shared" si="97"/>
        <v>0</v>
      </c>
      <c r="M272" s="102">
        <f t="shared" si="97"/>
        <v>0</v>
      </c>
      <c r="N272" s="93">
        <f>$U$1*36.12</f>
        <v>0</v>
      </c>
      <c r="O272" s="287">
        <f>$U$1*$O$268*S272/100</f>
        <v>0</v>
      </c>
      <c r="P272" s="287">
        <f>$U$1*$P$268*S272/100</f>
        <v>0</v>
      </c>
      <c r="R272" s="115">
        <v>18.399999999999999</v>
      </c>
      <c r="S272" s="44">
        <v>3.6120000000000001</v>
      </c>
      <c r="T272" s="92"/>
    </row>
    <row r="273" spans="2:21" s="45" customFormat="1" ht="12.45" customHeight="1" x14ac:dyDescent="0.35">
      <c r="B273" s="83">
        <v>9010030007</v>
      </c>
      <c r="C273" s="39" t="s">
        <v>46</v>
      </c>
      <c r="D273" s="26"/>
      <c r="E273" s="26"/>
      <c r="F273" s="26"/>
      <c r="G273" s="102">
        <f t="shared" ref="G273:M273" si="98">$U$1*G268*$S$273/100</f>
        <v>0</v>
      </c>
      <c r="H273" s="102">
        <f t="shared" si="98"/>
        <v>0</v>
      </c>
      <c r="I273" s="102">
        <f t="shared" si="98"/>
        <v>0</v>
      </c>
      <c r="J273" s="102">
        <f t="shared" si="98"/>
        <v>0</v>
      </c>
      <c r="K273" s="102">
        <f t="shared" si="98"/>
        <v>0</v>
      </c>
      <c r="L273" s="102">
        <f t="shared" si="98"/>
        <v>0</v>
      </c>
      <c r="M273" s="102">
        <f t="shared" si="98"/>
        <v>0</v>
      </c>
      <c r="N273" s="93">
        <f>$U$1*55.26</f>
        <v>0</v>
      </c>
      <c r="O273" s="287">
        <f>$U$1*$O$268*S273/100</f>
        <v>0</v>
      </c>
      <c r="P273" s="287">
        <f>$U$1*$P$268*S273/100</f>
        <v>0</v>
      </c>
      <c r="Q273" s="19"/>
      <c r="R273" s="115">
        <v>26.15</v>
      </c>
      <c r="S273" s="44">
        <v>5.5259999999999998</v>
      </c>
      <c r="T273" s="101"/>
    </row>
    <row r="274" spans="2:21" s="45" customFormat="1" ht="12.45" customHeight="1" x14ac:dyDescent="0.35">
      <c r="B274" s="39"/>
      <c r="C274" s="39"/>
      <c r="D274" s="26"/>
      <c r="E274" s="26"/>
      <c r="F274" s="26"/>
      <c r="G274" s="106"/>
      <c r="H274" s="106"/>
      <c r="I274" s="106"/>
      <c r="J274" s="106"/>
      <c r="K274" s="106"/>
      <c r="L274" s="106"/>
      <c r="M274" s="106"/>
      <c r="N274" s="93"/>
      <c r="O274" s="93"/>
      <c r="P274" s="93"/>
      <c r="Q274" s="19"/>
      <c r="R274" s="113"/>
      <c r="S274" s="44"/>
      <c r="T274" s="101"/>
    </row>
    <row r="275" spans="2:21" x14ac:dyDescent="0.35">
      <c r="B275" s="17" t="s">
        <v>602</v>
      </c>
    </row>
    <row r="276" spans="2:21" ht="12.45" customHeight="1" x14ac:dyDescent="0.35">
      <c r="N276" s="45"/>
      <c r="O276" s="45"/>
      <c r="P276" s="45"/>
      <c r="Q276" s="45"/>
      <c r="R276" s="45"/>
    </row>
    <row r="277" spans="2:21" s="45" customFormat="1" x14ac:dyDescent="0.35">
      <c r="B277" s="26" t="s">
        <v>27</v>
      </c>
      <c r="C277" s="28"/>
      <c r="D277" s="26" t="s">
        <v>29</v>
      </c>
      <c r="E277" s="28"/>
      <c r="F277" s="39"/>
      <c r="G277" s="67">
        <v>601</v>
      </c>
      <c r="H277" s="76">
        <f t="shared" ref="H277:N277" si="99">G278+1</f>
        <v>651</v>
      </c>
      <c r="I277" s="76">
        <f t="shared" si="99"/>
        <v>701</v>
      </c>
      <c r="J277" s="76">
        <f t="shared" si="99"/>
        <v>751</v>
      </c>
      <c r="K277" s="76">
        <f t="shared" si="99"/>
        <v>801</v>
      </c>
      <c r="L277" s="76">
        <f t="shared" si="99"/>
        <v>851</v>
      </c>
      <c r="M277" s="76">
        <f t="shared" si="99"/>
        <v>901</v>
      </c>
      <c r="N277" s="76">
        <f t="shared" si="99"/>
        <v>951</v>
      </c>
      <c r="O277" s="76">
        <f>N278+1</f>
        <v>1001</v>
      </c>
      <c r="P277" s="76">
        <f>O278+1</f>
        <v>1051</v>
      </c>
      <c r="S277" s="176" t="s">
        <v>22</v>
      </c>
      <c r="T277" s="53">
        <f>W1</f>
        <v>49</v>
      </c>
      <c r="U277" s="19"/>
    </row>
    <row r="278" spans="2:21" s="45" customFormat="1" ht="11.6" x14ac:dyDescent="0.35">
      <c r="C278" s="28"/>
      <c r="D278" s="27"/>
      <c r="E278" s="28"/>
      <c r="F278" s="23" t="s">
        <v>26</v>
      </c>
      <c r="G278" s="96">
        <f t="shared" ref="G278:M278" si="100">G277+$T$277</f>
        <v>650</v>
      </c>
      <c r="H278" s="96">
        <f t="shared" si="100"/>
        <v>700</v>
      </c>
      <c r="I278" s="96">
        <f t="shared" si="100"/>
        <v>750</v>
      </c>
      <c r="J278" s="96">
        <f t="shared" si="100"/>
        <v>800</v>
      </c>
      <c r="K278" s="96">
        <f t="shared" si="100"/>
        <v>850</v>
      </c>
      <c r="L278" s="96">
        <f t="shared" si="100"/>
        <v>900</v>
      </c>
      <c r="M278" s="96">
        <f t="shared" si="100"/>
        <v>950</v>
      </c>
      <c r="N278" s="96">
        <f>N277+$T$277</f>
        <v>1000</v>
      </c>
      <c r="O278" s="96">
        <f>O277+$T$277</f>
        <v>1050</v>
      </c>
      <c r="P278" s="96">
        <f>P277+$T$277</f>
        <v>1100</v>
      </c>
    </row>
    <row r="279" spans="2:21" s="45" customFormat="1" ht="11.6" x14ac:dyDescent="0.35">
      <c r="B279" s="26"/>
      <c r="C279" s="28"/>
      <c r="D279" s="27"/>
      <c r="E279" s="23"/>
      <c r="F279" s="39"/>
      <c r="G279" s="67"/>
      <c r="H279" s="67"/>
      <c r="I279" s="67"/>
      <c r="J279" s="67"/>
      <c r="K279" s="67"/>
      <c r="L279" s="67"/>
      <c r="M279" s="116"/>
      <c r="N279" s="116"/>
      <c r="O279" s="116"/>
      <c r="P279" s="116"/>
      <c r="R279" s="45" t="s">
        <v>101</v>
      </c>
      <c r="S279" s="52" t="s">
        <v>103</v>
      </c>
    </row>
    <row r="280" spans="2:21" s="101" customFormat="1" ht="11.6" x14ac:dyDescent="0.35">
      <c r="B280" s="103">
        <v>9010030008</v>
      </c>
      <c r="C280" s="82" t="s">
        <v>603</v>
      </c>
      <c r="D280" s="52"/>
      <c r="E280" s="52"/>
      <c r="F280" s="52"/>
      <c r="G280" s="84">
        <f t="shared" ref="G280:M280" si="101">$U$1*G278*$S$280/100</f>
        <v>0</v>
      </c>
      <c r="H280" s="84">
        <f t="shared" si="101"/>
        <v>0</v>
      </c>
      <c r="I280" s="84">
        <f t="shared" si="101"/>
        <v>0</v>
      </c>
      <c r="J280" s="84">
        <f t="shared" si="101"/>
        <v>0</v>
      </c>
      <c r="K280" s="84">
        <f t="shared" si="101"/>
        <v>0</v>
      </c>
      <c r="L280" s="84">
        <f t="shared" si="101"/>
        <v>0</v>
      </c>
      <c r="M280" s="84">
        <f t="shared" si="101"/>
        <v>0</v>
      </c>
      <c r="N280" s="102">
        <f>$U$1*121.9</f>
        <v>0</v>
      </c>
      <c r="O280" s="102">
        <f>$U$1*$O$278*S280/100</f>
        <v>0</v>
      </c>
      <c r="P280" s="102">
        <f>$U$1*$P$278*S280/100</f>
        <v>0</v>
      </c>
      <c r="R280" s="115">
        <v>53.2</v>
      </c>
      <c r="S280" s="44">
        <v>12.19</v>
      </c>
    </row>
    <row r="281" spans="2:21" s="101" customFormat="1" ht="11.6" x14ac:dyDescent="0.35">
      <c r="B281" s="103">
        <v>9010030009</v>
      </c>
      <c r="C281" s="82" t="s">
        <v>604</v>
      </c>
      <c r="D281" s="52"/>
      <c r="E281" s="52"/>
      <c r="F281" s="52"/>
      <c r="G281" s="102">
        <f t="shared" ref="G281:M281" si="102">$U$1*G278*$S$281/100</f>
        <v>0</v>
      </c>
      <c r="H281" s="102">
        <f t="shared" si="102"/>
        <v>0</v>
      </c>
      <c r="I281" s="102">
        <f t="shared" si="102"/>
        <v>0</v>
      </c>
      <c r="J281" s="102">
        <f t="shared" si="102"/>
        <v>0</v>
      </c>
      <c r="K281" s="102">
        <f t="shared" si="102"/>
        <v>0</v>
      </c>
      <c r="L281" s="102">
        <f t="shared" si="102"/>
        <v>0</v>
      </c>
      <c r="M281" s="102">
        <f t="shared" si="102"/>
        <v>0</v>
      </c>
      <c r="N281" s="102">
        <f>$U$1*121.9</f>
        <v>0</v>
      </c>
      <c r="O281" s="102">
        <f>$U$1*$O$278*S281/100</f>
        <v>0</v>
      </c>
      <c r="P281" s="102">
        <f>$U$1*$P$278*S281/100</f>
        <v>0</v>
      </c>
      <c r="R281" s="115">
        <v>53.2</v>
      </c>
      <c r="S281" s="44">
        <v>12.19</v>
      </c>
    </row>
    <row r="282" spans="2:21" s="101" customFormat="1" ht="11.6" x14ac:dyDescent="0.35">
      <c r="B282" s="103">
        <v>9010030010</v>
      </c>
      <c r="C282" s="82" t="s">
        <v>605</v>
      </c>
      <c r="D282" s="52"/>
      <c r="E282" s="52"/>
      <c r="F282" s="52"/>
      <c r="G282" s="102">
        <f t="shared" ref="G282:M282" si="103">$U$1*G278*$S$282/100</f>
        <v>0</v>
      </c>
      <c r="H282" s="102">
        <f t="shared" si="103"/>
        <v>0</v>
      </c>
      <c r="I282" s="102">
        <f t="shared" si="103"/>
        <v>0</v>
      </c>
      <c r="J282" s="102">
        <f t="shared" si="103"/>
        <v>0</v>
      </c>
      <c r="K282" s="102">
        <f t="shared" si="103"/>
        <v>0</v>
      </c>
      <c r="L282" s="102">
        <f t="shared" si="103"/>
        <v>0</v>
      </c>
      <c r="M282" s="102">
        <f t="shared" si="103"/>
        <v>0</v>
      </c>
      <c r="N282" s="102">
        <f>$U$1*128.9</f>
        <v>0</v>
      </c>
      <c r="O282" s="102">
        <f>$U$1*$O$278*S282/100</f>
        <v>0</v>
      </c>
      <c r="P282" s="102">
        <f>$U$1*$P$278*S282/100</f>
        <v>0</v>
      </c>
      <c r="R282" s="115">
        <v>55.2</v>
      </c>
      <c r="S282" s="44">
        <v>12.89</v>
      </c>
    </row>
    <row r="285" spans="2:21" x14ac:dyDescent="0.35">
      <c r="B285" s="17" t="s">
        <v>606</v>
      </c>
    </row>
    <row r="286" spans="2:21" ht="12.45" customHeight="1" x14ac:dyDescent="0.35">
      <c r="N286" s="45"/>
      <c r="O286" s="45"/>
      <c r="P286" s="45"/>
      <c r="Q286" s="45"/>
      <c r="R286" s="45"/>
    </row>
    <row r="287" spans="2:21" s="45" customFormat="1" x14ac:dyDescent="0.35">
      <c r="B287" s="26" t="s">
        <v>27</v>
      </c>
      <c r="C287" s="28"/>
      <c r="D287" s="26" t="s">
        <v>29</v>
      </c>
      <c r="E287" s="28"/>
      <c r="F287" s="39"/>
      <c r="G287" s="67">
        <v>601</v>
      </c>
      <c r="H287" s="76">
        <f t="shared" ref="H287:N287" si="104">G288+1</f>
        <v>651</v>
      </c>
      <c r="I287" s="76">
        <f t="shared" si="104"/>
        <v>701</v>
      </c>
      <c r="J287" s="76">
        <f t="shared" si="104"/>
        <v>751</v>
      </c>
      <c r="K287" s="76">
        <f t="shared" si="104"/>
        <v>801</v>
      </c>
      <c r="L287" s="76">
        <f t="shared" si="104"/>
        <v>851</v>
      </c>
      <c r="M287" s="76">
        <f t="shared" si="104"/>
        <v>901</v>
      </c>
      <c r="N287" s="76">
        <f t="shared" si="104"/>
        <v>951</v>
      </c>
      <c r="O287" s="76">
        <f>N288+1</f>
        <v>1001</v>
      </c>
      <c r="P287" s="76">
        <f>O288+1</f>
        <v>1051</v>
      </c>
      <c r="S287" s="176" t="s">
        <v>22</v>
      </c>
      <c r="T287" s="53">
        <f>W1</f>
        <v>49</v>
      </c>
      <c r="U287" s="19"/>
    </row>
    <row r="288" spans="2:21" s="45" customFormat="1" ht="11.6" x14ac:dyDescent="0.35">
      <c r="C288" s="28"/>
      <c r="D288" s="27"/>
      <c r="E288" s="28"/>
      <c r="F288" s="23" t="s">
        <v>26</v>
      </c>
      <c r="G288" s="96">
        <f t="shared" ref="G288:M288" si="105">G287+$T$287</f>
        <v>650</v>
      </c>
      <c r="H288" s="96">
        <f t="shared" si="105"/>
        <v>700</v>
      </c>
      <c r="I288" s="96">
        <f t="shared" si="105"/>
        <v>750</v>
      </c>
      <c r="J288" s="96">
        <f t="shared" si="105"/>
        <v>800</v>
      </c>
      <c r="K288" s="96">
        <f t="shared" si="105"/>
        <v>850</v>
      </c>
      <c r="L288" s="96">
        <f t="shared" si="105"/>
        <v>900</v>
      </c>
      <c r="M288" s="96">
        <f t="shared" si="105"/>
        <v>950</v>
      </c>
      <c r="N288" s="96">
        <f>N287+$T$287</f>
        <v>1000</v>
      </c>
      <c r="O288" s="96">
        <f>O287+$T$287</f>
        <v>1050</v>
      </c>
      <c r="P288" s="96">
        <f>P287+$T$287</f>
        <v>1100</v>
      </c>
    </row>
    <row r="289" spans="2:21" s="45" customFormat="1" ht="11.6" x14ac:dyDescent="0.35">
      <c r="B289" s="26"/>
      <c r="C289" s="28"/>
      <c r="D289" s="27"/>
      <c r="E289" s="23"/>
      <c r="F289" s="39"/>
      <c r="G289" s="67"/>
      <c r="H289" s="67"/>
      <c r="I289" s="67"/>
      <c r="J289" s="67"/>
      <c r="K289" s="67"/>
      <c r="L289" s="67"/>
      <c r="M289" s="116"/>
      <c r="N289" s="116"/>
      <c r="O289" s="116"/>
      <c r="P289" s="116"/>
      <c r="R289" s="45" t="s">
        <v>101</v>
      </c>
      <c r="S289" s="52" t="s">
        <v>103</v>
      </c>
    </row>
    <row r="290" spans="2:21" s="101" customFormat="1" ht="11.6" x14ac:dyDescent="0.35">
      <c r="B290" s="103">
        <v>9010040001</v>
      </c>
      <c r="C290" s="82" t="s">
        <v>50</v>
      </c>
      <c r="D290" s="52"/>
      <c r="E290" s="52"/>
      <c r="F290" s="52"/>
      <c r="G290" s="84">
        <f t="shared" ref="G290:M290" si="106">$U$1*G288*$S$290/100</f>
        <v>0</v>
      </c>
      <c r="H290" s="84">
        <f t="shared" si="106"/>
        <v>0</v>
      </c>
      <c r="I290" s="84">
        <f t="shared" si="106"/>
        <v>0</v>
      </c>
      <c r="J290" s="84">
        <f t="shared" si="106"/>
        <v>0</v>
      </c>
      <c r="K290" s="84">
        <f t="shared" si="106"/>
        <v>0</v>
      </c>
      <c r="L290" s="84">
        <f t="shared" si="106"/>
        <v>0</v>
      </c>
      <c r="M290" s="84">
        <f t="shared" si="106"/>
        <v>0</v>
      </c>
      <c r="N290" s="102">
        <f>$U$1*9.4</f>
        <v>0</v>
      </c>
      <c r="O290" s="102">
        <f>$U$1*$O$288*S290/100</f>
        <v>0</v>
      </c>
      <c r="P290" s="102">
        <f>$U$1*$P$288*S290/100</f>
        <v>0</v>
      </c>
      <c r="R290" s="115">
        <v>5.4</v>
      </c>
      <c r="S290" s="44">
        <v>0.94</v>
      </c>
    </row>
    <row r="291" spans="2:21" s="101" customFormat="1" ht="11.6" x14ac:dyDescent="0.35">
      <c r="B291" s="103">
        <v>9010040002</v>
      </c>
      <c r="C291" s="82" t="s">
        <v>51</v>
      </c>
      <c r="D291" s="52"/>
      <c r="E291" s="52"/>
      <c r="F291" s="52"/>
      <c r="G291" s="102">
        <f t="shared" ref="G291:M291" si="107">$U$1*G288*$S$291/100</f>
        <v>0</v>
      </c>
      <c r="H291" s="102">
        <f t="shared" si="107"/>
        <v>0</v>
      </c>
      <c r="I291" s="102">
        <f t="shared" si="107"/>
        <v>0</v>
      </c>
      <c r="J291" s="102">
        <f t="shared" si="107"/>
        <v>0</v>
      </c>
      <c r="K291" s="102">
        <f t="shared" si="107"/>
        <v>0</v>
      </c>
      <c r="L291" s="102">
        <f t="shared" si="107"/>
        <v>0</v>
      </c>
      <c r="M291" s="102">
        <f t="shared" si="107"/>
        <v>0</v>
      </c>
      <c r="N291" s="102">
        <f>$U$1*13.26</f>
        <v>0</v>
      </c>
      <c r="O291" s="102">
        <f>$U$1*$O$288*S291/100</f>
        <v>0</v>
      </c>
      <c r="P291" s="102">
        <f>$U$1*$P$288*S291/100</f>
        <v>0</v>
      </c>
      <c r="R291" s="115">
        <v>5.0199999999999996</v>
      </c>
      <c r="S291" s="44">
        <v>1.3260000000000001</v>
      </c>
    </row>
    <row r="292" spans="2:21" s="101" customFormat="1" ht="11.6" x14ac:dyDescent="0.35">
      <c r="B292" s="103">
        <v>9010040003</v>
      </c>
      <c r="C292" s="82" t="s">
        <v>49</v>
      </c>
      <c r="D292" s="52"/>
      <c r="E292" s="52"/>
      <c r="F292" s="52"/>
      <c r="G292" s="102">
        <f t="shared" ref="G292:M292" si="108">$U$1*G288*$S$292/100</f>
        <v>0</v>
      </c>
      <c r="H292" s="102">
        <f t="shared" si="108"/>
        <v>0</v>
      </c>
      <c r="I292" s="102">
        <f t="shared" si="108"/>
        <v>0</v>
      </c>
      <c r="J292" s="102">
        <f t="shared" si="108"/>
        <v>0</v>
      </c>
      <c r="K292" s="102">
        <f t="shared" si="108"/>
        <v>0</v>
      </c>
      <c r="L292" s="102">
        <f t="shared" si="108"/>
        <v>0</v>
      </c>
      <c r="M292" s="102">
        <f t="shared" si="108"/>
        <v>0</v>
      </c>
      <c r="N292" s="102">
        <f>$U$1*16.33</f>
        <v>0</v>
      </c>
      <c r="O292" s="102">
        <f>$U$1*$O$288*S292/100</f>
        <v>0</v>
      </c>
      <c r="P292" s="102">
        <f>$U$1*$P$288*S292/100</f>
        <v>0</v>
      </c>
      <c r="R292" s="115">
        <v>5.0199999999999996</v>
      </c>
      <c r="S292" s="44">
        <v>1.633</v>
      </c>
    </row>
    <row r="293" spans="2:21" s="101" customFormat="1" ht="11.6" x14ac:dyDescent="0.35">
      <c r="B293" s="103">
        <v>9010040004</v>
      </c>
      <c r="C293" s="82" t="s">
        <v>52</v>
      </c>
      <c r="D293" s="52"/>
      <c r="E293" s="52"/>
      <c r="F293" s="52"/>
      <c r="G293" s="102">
        <f t="shared" ref="G293:M293" si="109">$U$1*G288*$S$293/100</f>
        <v>0</v>
      </c>
      <c r="H293" s="102">
        <f t="shared" si="109"/>
        <v>0</v>
      </c>
      <c r="I293" s="102">
        <f t="shared" si="109"/>
        <v>0</v>
      </c>
      <c r="J293" s="102">
        <f t="shared" si="109"/>
        <v>0</v>
      </c>
      <c r="K293" s="102">
        <f t="shared" si="109"/>
        <v>0</v>
      </c>
      <c r="L293" s="102">
        <f t="shared" si="109"/>
        <v>0</v>
      </c>
      <c r="M293" s="102">
        <f t="shared" si="109"/>
        <v>0</v>
      </c>
      <c r="N293" s="102">
        <f>$U$1*28.4</f>
        <v>0</v>
      </c>
      <c r="O293" s="102">
        <f>$U$1*$O$288*S293/100</f>
        <v>0</v>
      </c>
      <c r="P293" s="102">
        <f>$U$1*$P$288*S293/100</f>
        <v>0</v>
      </c>
      <c r="R293" s="115">
        <v>11.45</v>
      </c>
      <c r="S293" s="44">
        <v>2.84</v>
      </c>
    </row>
    <row r="294" spans="2:21" s="45" customFormat="1" x14ac:dyDescent="0.35">
      <c r="B294" s="82"/>
      <c r="C294" s="8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19"/>
      <c r="R294" s="19"/>
    </row>
    <row r="295" spans="2:21" s="45" customFormat="1" x14ac:dyDescent="0.35">
      <c r="B295" s="82"/>
      <c r="C295" s="8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19"/>
      <c r="R295" s="19"/>
    </row>
    <row r="296" spans="2:21" s="45" customFormat="1" x14ac:dyDescent="0.35">
      <c r="B296" s="82"/>
      <c r="C296" s="8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19"/>
      <c r="R296" s="19"/>
    </row>
    <row r="297" spans="2:21" x14ac:dyDescent="0.35">
      <c r="B297" s="17" t="s">
        <v>606</v>
      </c>
    </row>
    <row r="298" spans="2:21" x14ac:dyDescent="0.35">
      <c r="N298" s="45"/>
      <c r="O298" s="45"/>
      <c r="P298" s="45"/>
      <c r="Q298" s="45"/>
      <c r="R298" s="45"/>
    </row>
    <row r="299" spans="2:21" s="45" customFormat="1" x14ac:dyDescent="0.35">
      <c r="B299" s="26" t="s">
        <v>27</v>
      </c>
      <c r="C299" s="28"/>
      <c r="D299" s="26" t="s">
        <v>29</v>
      </c>
      <c r="E299" s="28"/>
      <c r="F299" s="39"/>
      <c r="G299" s="67">
        <v>601</v>
      </c>
      <c r="H299" s="76">
        <f t="shared" ref="H299:N299" si="110">G300+1</f>
        <v>651</v>
      </c>
      <c r="I299" s="76">
        <f t="shared" si="110"/>
        <v>701</v>
      </c>
      <c r="J299" s="76">
        <f t="shared" si="110"/>
        <v>751</v>
      </c>
      <c r="K299" s="76">
        <f t="shared" si="110"/>
        <v>801</v>
      </c>
      <c r="L299" s="76">
        <f t="shared" si="110"/>
        <v>851</v>
      </c>
      <c r="M299" s="76">
        <f t="shared" si="110"/>
        <v>901</v>
      </c>
      <c r="N299" s="76">
        <f t="shared" si="110"/>
        <v>951</v>
      </c>
      <c r="O299" s="76">
        <f>N300+1</f>
        <v>1001</v>
      </c>
      <c r="P299" s="76">
        <f>O300+1</f>
        <v>1051</v>
      </c>
      <c r="S299" s="176" t="s">
        <v>22</v>
      </c>
      <c r="T299" s="53">
        <f>W1</f>
        <v>49</v>
      </c>
      <c r="U299" s="19"/>
    </row>
    <row r="300" spans="2:21" s="45" customFormat="1" ht="11.6" x14ac:dyDescent="0.35">
      <c r="C300" s="28"/>
      <c r="D300" s="27"/>
      <c r="E300" s="28"/>
      <c r="F300" s="23" t="s">
        <v>26</v>
      </c>
      <c r="G300" s="96">
        <f t="shared" ref="G300:M300" si="111">G299+$T$299</f>
        <v>650</v>
      </c>
      <c r="H300" s="96">
        <f t="shared" si="111"/>
        <v>700</v>
      </c>
      <c r="I300" s="96">
        <f t="shared" si="111"/>
        <v>750</v>
      </c>
      <c r="J300" s="96">
        <f t="shared" si="111"/>
        <v>800</v>
      </c>
      <c r="K300" s="96">
        <f t="shared" si="111"/>
        <v>850</v>
      </c>
      <c r="L300" s="96">
        <f t="shared" si="111"/>
        <v>900</v>
      </c>
      <c r="M300" s="96">
        <f t="shared" si="111"/>
        <v>950</v>
      </c>
      <c r="N300" s="96">
        <f>N299+$T$299</f>
        <v>1000</v>
      </c>
      <c r="O300" s="96">
        <f>O299+$T$299</f>
        <v>1050</v>
      </c>
      <c r="P300" s="96">
        <f>P299+$T$299</f>
        <v>1100</v>
      </c>
    </row>
    <row r="301" spans="2:21" s="45" customFormat="1" ht="12.45" customHeight="1" x14ac:dyDescent="0.35">
      <c r="B301" s="82"/>
      <c r="C301" s="82"/>
      <c r="D301" s="52"/>
      <c r="E301" s="52"/>
      <c r="F301" s="52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19"/>
      <c r="R301" s="45" t="s">
        <v>101</v>
      </c>
      <c r="S301" s="52" t="s">
        <v>103</v>
      </c>
    </row>
    <row r="302" spans="2:21" ht="12.45" customHeight="1" x14ac:dyDescent="0.35">
      <c r="B302" s="103">
        <v>9010040005</v>
      </c>
      <c r="C302" s="82" t="s">
        <v>53</v>
      </c>
      <c r="D302" s="52"/>
      <c r="E302" s="52"/>
      <c r="F302" s="52"/>
      <c r="G302" s="84">
        <f t="shared" ref="G302:M302" si="112">$U$1*G300*$S$302/100</f>
        <v>0</v>
      </c>
      <c r="H302" s="84">
        <f t="shared" si="112"/>
        <v>0</v>
      </c>
      <c r="I302" s="84">
        <f t="shared" si="112"/>
        <v>0</v>
      </c>
      <c r="J302" s="84">
        <f t="shared" si="112"/>
        <v>0</v>
      </c>
      <c r="K302" s="84">
        <f t="shared" si="112"/>
        <v>0</v>
      </c>
      <c r="L302" s="84">
        <f t="shared" si="112"/>
        <v>0</v>
      </c>
      <c r="M302" s="84">
        <f t="shared" si="112"/>
        <v>0</v>
      </c>
      <c r="N302" s="102">
        <f>$U$1*13.58</f>
        <v>0</v>
      </c>
      <c r="O302" s="102">
        <f>$U$1*$O$300*S302/100</f>
        <v>0</v>
      </c>
      <c r="P302" s="102">
        <f>$U$1*$P$300*S302/100</f>
        <v>0</v>
      </c>
      <c r="R302" s="115">
        <v>5.0599999999999996</v>
      </c>
      <c r="S302" s="44">
        <v>1.3580000000000001</v>
      </c>
    </row>
    <row r="303" spans="2:21" ht="12.45" customHeight="1" x14ac:dyDescent="0.35">
      <c r="B303" s="103">
        <v>9010040006</v>
      </c>
      <c r="C303" s="82" t="s">
        <v>54</v>
      </c>
      <c r="D303" s="52"/>
      <c r="E303" s="52"/>
      <c r="F303" s="52"/>
      <c r="G303" s="84">
        <f t="shared" ref="G303:M303" si="113">$U$1*G300*$S$303/100</f>
        <v>0</v>
      </c>
      <c r="H303" s="84">
        <f t="shared" si="113"/>
        <v>0</v>
      </c>
      <c r="I303" s="84">
        <f t="shared" si="113"/>
        <v>0</v>
      </c>
      <c r="J303" s="84">
        <f t="shared" si="113"/>
        <v>0</v>
      </c>
      <c r="K303" s="84">
        <f t="shared" si="113"/>
        <v>0</v>
      </c>
      <c r="L303" s="84">
        <f t="shared" si="113"/>
        <v>0</v>
      </c>
      <c r="M303" s="84">
        <f t="shared" si="113"/>
        <v>0</v>
      </c>
      <c r="N303" s="102">
        <f>$U$1*13.58</f>
        <v>0</v>
      </c>
      <c r="O303" s="102">
        <f t="shared" ref="O303:O311" si="114">$U$1*$O$300*S303/100</f>
        <v>0</v>
      </c>
      <c r="P303" s="102">
        <f t="shared" ref="P303:P311" si="115">$U$1*$P$300*S303/100</f>
        <v>0</v>
      </c>
      <c r="R303" s="115">
        <v>6</v>
      </c>
      <c r="S303" s="44">
        <v>1.3580000000000001</v>
      </c>
    </row>
    <row r="304" spans="2:21" ht="12.45" customHeight="1" x14ac:dyDescent="0.35">
      <c r="B304" s="103">
        <v>9010040007</v>
      </c>
      <c r="C304" s="82" t="s">
        <v>55</v>
      </c>
      <c r="D304" s="52"/>
      <c r="E304" s="52"/>
      <c r="F304" s="52"/>
      <c r="G304" s="84">
        <f t="shared" ref="G304:M304" si="116">$U$1*G300*$S$304/100</f>
        <v>0</v>
      </c>
      <c r="H304" s="84">
        <f t="shared" si="116"/>
        <v>0</v>
      </c>
      <c r="I304" s="84">
        <f t="shared" si="116"/>
        <v>0</v>
      </c>
      <c r="J304" s="84">
        <f t="shared" si="116"/>
        <v>0</v>
      </c>
      <c r="K304" s="84">
        <f t="shared" si="116"/>
        <v>0</v>
      </c>
      <c r="L304" s="84">
        <f t="shared" si="116"/>
        <v>0</v>
      </c>
      <c r="M304" s="84">
        <f t="shared" si="116"/>
        <v>0</v>
      </c>
      <c r="N304" s="102">
        <f>$U$1*13.7</f>
        <v>0</v>
      </c>
      <c r="O304" s="102">
        <f t="shared" si="114"/>
        <v>0</v>
      </c>
      <c r="P304" s="102">
        <f t="shared" si="115"/>
        <v>0</v>
      </c>
      <c r="R304" s="115">
        <v>6.75</v>
      </c>
      <c r="S304" s="44">
        <v>1.37</v>
      </c>
    </row>
    <row r="305" spans="2:21" ht="12.45" customHeight="1" x14ac:dyDescent="0.35">
      <c r="B305" s="103">
        <v>9010040008</v>
      </c>
      <c r="C305" s="82" t="s">
        <v>56</v>
      </c>
      <c r="D305" s="52"/>
      <c r="E305" s="52"/>
      <c r="F305" s="52"/>
      <c r="G305" s="84">
        <f t="shared" ref="G305:M305" si="117">$U$1*G300*$S$305/100</f>
        <v>0</v>
      </c>
      <c r="H305" s="84">
        <f t="shared" si="117"/>
        <v>0</v>
      </c>
      <c r="I305" s="84">
        <f t="shared" si="117"/>
        <v>0</v>
      </c>
      <c r="J305" s="84">
        <f t="shared" si="117"/>
        <v>0</v>
      </c>
      <c r="K305" s="84">
        <f t="shared" si="117"/>
        <v>0</v>
      </c>
      <c r="L305" s="84">
        <f t="shared" si="117"/>
        <v>0</v>
      </c>
      <c r="M305" s="84">
        <f t="shared" si="117"/>
        <v>0</v>
      </c>
      <c r="N305" s="102">
        <f>$U$1*28.14</f>
        <v>0</v>
      </c>
      <c r="O305" s="102">
        <f t="shared" si="114"/>
        <v>0</v>
      </c>
      <c r="P305" s="102">
        <f t="shared" si="115"/>
        <v>0</v>
      </c>
      <c r="R305" s="115">
        <v>11.68</v>
      </c>
      <c r="S305" s="44">
        <v>2.8140000000000001</v>
      </c>
    </row>
    <row r="306" spans="2:21" ht="12.45" customHeight="1" x14ac:dyDescent="0.35">
      <c r="B306" s="82"/>
      <c r="C306" s="82"/>
      <c r="D306" s="52"/>
      <c r="E306" s="52"/>
      <c r="F306" s="52"/>
      <c r="G306" s="52"/>
      <c r="H306" s="52"/>
      <c r="I306" s="52"/>
      <c r="J306" s="52"/>
      <c r="K306" s="52"/>
      <c r="L306" s="52"/>
      <c r="M306" s="93"/>
      <c r="N306" s="52"/>
      <c r="O306" s="106"/>
      <c r="P306" s="106"/>
      <c r="R306" s="115"/>
      <c r="S306" s="44"/>
    </row>
    <row r="307" spans="2:21" ht="12.45" customHeight="1" x14ac:dyDescent="0.35">
      <c r="B307" s="82"/>
      <c r="C307" s="82"/>
      <c r="D307" s="52"/>
      <c r="E307" s="52"/>
      <c r="F307" s="52"/>
      <c r="G307" s="52"/>
      <c r="H307" s="52"/>
      <c r="I307" s="52"/>
      <c r="J307" s="52"/>
      <c r="K307" s="52"/>
      <c r="L307" s="52"/>
      <c r="M307" s="93"/>
      <c r="N307" s="52"/>
      <c r="O307" s="106"/>
      <c r="P307" s="106"/>
      <c r="R307" s="115"/>
      <c r="S307" s="44"/>
    </row>
    <row r="308" spans="2:21" ht="12.45" customHeight="1" x14ac:dyDescent="0.35">
      <c r="B308" s="87"/>
      <c r="C308" s="100" t="s">
        <v>57</v>
      </c>
      <c r="D308" s="88"/>
      <c r="E308" s="88"/>
      <c r="F308" s="88"/>
      <c r="G308" s="91">
        <f t="shared" ref="G308:M308" si="118">$U$1*G300*$S$308/100</f>
        <v>0</v>
      </c>
      <c r="H308" s="91">
        <f t="shared" si="118"/>
        <v>0</v>
      </c>
      <c r="I308" s="91">
        <f t="shared" si="118"/>
        <v>0</v>
      </c>
      <c r="J308" s="91">
        <f t="shared" si="118"/>
        <v>0</v>
      </c>
      <c r="K308" s="91">
        <f t="shared" si="118"/>
        <v>0</v>
      </c>
      <c r="L308" s="91">
        <f t="shared" si="118"/>
        <v>0</v>
      </c>
      <c r="M308" s="91">
        <f t="shared" si="118"/>
        <v>0</v>
      </c>
      <c r="N308" s="91">
        <f>$U$1*20.7</f>
        <v>0</v>
      </c>
      <c r="O308" s="91">
        <f t="shared" si="114"/>
        <v>0</v>
      </c>
      <c r="P308" s="91">
        <f t="shared" si="115"/>
        <v>0</v>
      </c>
      <c r="R308" s="115">
        <v>0</v>
      </c>
      <c r="S308" s="44">
        <v>2.0699999999999998</v>
      </c>
    </row>
    <row r="309" spans="2:21" ht="12.45" customHeight="1" x14ac:dyDescent="0.35">
      <c r="B309" s="103">
        <v>9010040009</v>
      </c>
      <c r="C309" s="82" t="s">
        <v>58</v>
      </c>
      <c r="D309" s="52"/>
      <c r="E309" s="52"/>
      <c r="F309" s="52"/>
      <c r="G309" s="84">
        <f t="shared" ref="G309:M309" si="119">$U$1*G300*$S$309/100</f>
        <v>0</v>
      </c>
      <c r="H309" s="84">
        <f t="shared" si="119"/>
        <v>0</v>
      </c>
      <c r="I309" s="84">
        <f t="shared" si="119"/>
        <v>0</v>
      </c>
      <c r="J309" s="84">
        <f t="shared" si="119"/>
        <v>0</v>
      </c>
      <c r="K309" s="84">
        <f t="shared" si="119"/>
        <v>0</v>
      </c>
      <c r="L309" s="84">
        <f t="shared" si="119"/>
        <v>0</v>
      </c>
      <c r="M309" s="84">
        <f t="shared" si="119"/>
        <v>0</v>
      </c>
      <c r="N309" s="102">
        <f>$U$1*18.1</f>
        <v>0</v>
      </c>
      <c r="O309" s="102">
        <f t="shared" si="114"/>
        <v>0</v>
      </c>
      <c r="P309" s="102">
        <f t="shared" si="115"/>
        <v>0</v>
      </c>
      <c r="R309" s="115">
        <v>9.14</v>
      </c>
      <c r="S309" s="44">
        <v>1.81</v>
      </c>
    </row>
    <row r="310" spans="2:21" ht="12.45" customHeight="1" x14ac:dyDescent="0.35">
      <c r="B310" s="103">
        <v>9010040010</v>
      </c>
      <c r="C310" s="82" t="s">
        <v>59</v>
      </c>
      <c r="D310" s="52"/>
      <c r="E310" s="52"/>
      <c r="F310" s="52"/>
      <c r="G310" s="84">
        <f t="shared" ref="G310:M310" si="120">$U$1*G300*$S$310/100</f>
        <v>0</v>
      </c>
      <c r="H310" s="84">
        <f t="shared" si="120"/>
        <v>0</v>
      </c>
      <c r="I310" s="84">
        <f t="shared" si="120"/>
        <v>0</v>
      </c>
      <c r="J310" s="84">
        <f t="shared" si="120"/>
        <v>0</v>
      </c>
      <c r="K310" s="84">
        <f t="shared" si="120"/>
        <v>0</v>
      </c>
      <c r="L310" s="84">
        <f t="shared" si="120"/>
        <v>0</v>
      </c>
      <c r="M310" s="84">
        <f t="shared" si="120"/>
        <v>0</v>
      </c>
      <c r="N310" s="102">
        <f>$U$1*16.45</f>
        <v>0</v>
      </c>
      <c r="O310" s="102">
        <f t="shared" si="114"/>
        <v>0</v>
      </c>
      <c r="P310" s="102">
        <f t="shared" si="115"/>
        <v>0</v>
      </c>
      <c r="R310" s="115">
        <v>9.99</v>
      </c>
      <c r="S310" s="44">
        <v>1.645</v>
      </c>
    </row>
    <row r="311" spans="2:21" ht="12.45" customHeight="1" x14ac:dyDescent="0.35">
      <c r="B311" s="103">
        <v>9010040011</v>
      </c>
      <c r="C311" s="82" t="s">
        <v>60</v>
      </c>
      <c r="D311" s="52"/>
      <c r="E311" s="52"/>
      <c r="F311" s="52"/>
      <c r="G311" s="84">
        <f t="shared" ref="G311:M311" si="121">$U$1*G300*$S$311/100</f>
        <v>0</v>
      </c>
      <c r="H311" s="84">
        <f t="shared" si="121"/>
        <v>0</v>
      </c>
      <c r="I311" s="84">
        <f t="shared" si="121"/>
        <v>0</v>
      </c>
      <c r="J311" s="84">
        <f t="shared" si="121"/>
        <v>0</v>
      </c>
      <c r="K311" s="84">
        <f t="shared" si="121"/>
        <v>0</v>
      </c>
      <c r="L311" s="84">
        <f t="shared" si="121"/>
        <v>0</v>
      </c>
      <c r="M311" s="84">
        <f t="shared" si="121"/>
        <v>0</v>
      </c>
      <c r="N311" s="102">
        <f>$U$1*36.9</f>
        <v>0</v>
      </c>
      <c r="O311" s="102">
        <f t="shared" si="114"/>
        <v>0</v>
      </c>
      <c r="P311" s="102">
        <f t="shared" si="115"/>
        <v>0</v>
      </c>
      <c r="R311" s="115">
        <v>17.2</v>
      </c>
      <c r="S311" s="44">
        <v>3.69</v>
      </c>
    </row>
    <row r="313" spans="2:21" x14ac:dyDescent="0.35">
      <c r="B313" s="17" t="s">
        <v>607</v>
      </c>
    </row>
    <row r="314" spans="2:21" ht="12.45" customHeight="1" x14ac:dyDescent="0.35">
      <c r="N314" s="45"/>
      <c r="O314" s="45"/>
      <c r="P314" s="45"/>
      <c r="Q314" s="45"/>
      <c r="R314" s="45"/>
    </row>
    <row r="315" spans="2:21" s="45" customFormat="1" x14ac:dyDescent="0.35">
      <c r="B315" s="26" t="s">
        <v>27</v>
      </c>
      <c r="C315" s="28"/>
      <c r="D315" s="26" t="s">
        <v>29</v>
      </c>
      <c r="E315" s="28"/>
      <c r="F315" s="39"/>
      <c r="G315" s="67">
        <v>601</v>
      </c>
      <c r="H315" s="76">
        <f t="shared" ref="H315:N315" si="122">G316+1</f>
        <v>651</v>
      </c>
      <c r="I315" s="76">
        <f t="shared" si="122"/>
        <v>701</v>
      </c>
      <c r="J315" s="76">
        <f t="shared" si="122"/>
        <v>751</v>
      </c>
      <c r="K315" s="76">
        <f t="shared" si="122"/>
        <v>801</v>
      </c>
      <c r="L315" s="76">
        <f t="shared" si="122"/>
        <v>851</v>
      </c>
      <c r="M315" s="76">
        <f t="shared" si="122"/>
        <v>901</v>
      </c>
      <c r="N315" s="76">
        <f t="shared" si="122"/>
        <v>951</v>
      </c>
      <c r="O315" s="76">
        <f>N316+1</f>
        <v>1001</v>
      </c>
      <c r="P315" s="76">
        <f>O316+1</f>
        <v>1051</v>
      </c>
      <c r="S315" s="176" t="s">
        <v>22</v>
      </c>
      <c r="T315" s="53">
        <f>W1</f>
        <v>49</v>
      </c>
      <c r="U315" s="19"/>
    </row>
    <row r="316" spans="2:21" s="45" customFormat="1" ht="11.6" x14ac:dyDescent="0.35">
      <c r="C316" s="28"/>
      <c r="D316" s="27"/>
      <c r="E316" s="28"/>
      <c r="F316" s="23" t="s">
        <v>26</v>
      </c>
      <c r="G316" s="96">
        <f t="shared" ref="G316:M316" si="123">G315+$T$315</f>
        <v>650</v>
      </c>
      <c r="H316" s="96">
        <f t="shared" si="123"/>
        <v>700</v>
      </c>
      <c r="I316" s="96">
        <f t="shared" si="123"/>
        <v>750</v>
      </c>
      <c r="J316" s="96">
        <f t="shared" si="123"/>
        <v>800</v>
      </c>
      <c r="K316" s="96">
        <f t="shared" si="123"/>
        <v>850</v>
      </c>
      <c r="L316" s="96">
        <f t="shared" si="123"/>
        <v>900</v>
      </c>
      <c r="M316" s="96">
        <f t="shared" si="123"/>
        <v>950</v>
      </c>
      <c r="N316" s="96">
        <f>N315+$T$315</f>
        <v>1000</v>
      </c>
      <c r="O316" s="96">
        <f>O315+$T$315</f>
        <v>1050</v>
      </c>
      <c r="P316" s="96">
        <f>P315+$T$315</f>
        <v>1100</v>
      </c>
    </row>
    <row r="317" spans="2:21" s="45" customFormat="1" ht="12.45" customHeight="1" x14ac:dyDescent="0.35">
      <c r="B317" s="82"/>
      <c r="C317" s="82"/>
      <c r="D317" s="52"/>
      <c r="E317" s="52"/>
      <c r="F317" s="52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19"/>
      <c r="R317" s="45" t="s">
        <v>101</v>
      </c>
      <c r="S317" s="52" t="s">
        <v>103</v>
      </c>
    </row>
    <row r="318" spans="2:21" ht="12.45" customHeight="1" x14ac:dyDescent="0.35">
      <c r="B318" s="103">
        <v>9010040012</v>
      </c>
      <c r="C318" s="82"/>
      <c r="D318" s="82">
        <v>80</v>
      </c>
      <c r="E318" s="52"/>
      <c r="F318" s="52"/>
      <c r="G318" s="102">
        <f t="shared" ref="G318:M318" si="124">$U$1*G316*$S$318/100</f>
        <v>0</v>
      </c>
      <c r="H318" s="102">
        <f t="shared" si="124"/>
        <v>0</v>
      </c>
      <c r="I318" s="102">
        <f t="shared" si="124"/>
        <v>0</v>
      </c>
      <c r="J318" s="102">
        <f t="shared" si="124"/>
        <v>0</v>
      </c>
      <c r="K318" s="102">
        <f t="shared" si="124"/>
        <v>0</v>
      </c>
      <c r="L318" s="102">
        <f t="shared" si="124"/>
        <v>0</v>
      </c>
      <c r="M318" s="102">
        <f t="shared" si="124"/>
        <v>0</v>
      </c>
      <c r="N318" s="102">
        <f>$U$1*18.6</f>
        <v>0</v>
      </c>
      <c r="O318" s="102">
        <f>$U$1*$O$316*S318/100</f>
        <v>0</v>
      </c>
      <c r="P318" s="102">
        <f>$U$1*$P$316*S318/100</f>
        <v>0</v>
      </c>
      <c r="R318" s="115">
        <v>11.38</v>
      </c>
      <c r="S318" s="44">
        <v>1.865</v>
      </c>
    </row>
    <row r="319" spans="2:21" ht="12.45" customHeight="1" x14ac:dyDescent="0.35">
      <c r="B319" s="103">
        <v>9010040013</v>
      </c>
      <c r="C319" s="52"/>
      <c r="D319" s="82">
        <v>100</v>
      </c>
      <c r="E319" s="52"/>
      <c r="F319" s="52"/>
      <c r="G319" s="102">
        <f t="shared" ref="G319:M319" si="125">$U$1*G316*$S$319/100</f>
        <v>0</v>
      </c>
      <c r="H319" s="102">
        <f t="shared" si="125"/>
        <v>0</v>
      </c>
      <c r="I319" s="102">
        <f t="shared" si="125"/>
        <v>0</v>
      </c>
      <c r="J319" s="102">
        <f t="shared" si="125"/>
        <v>0</v>
      </c>
      <c r="K319" s="102">
        <f t="shared" si="125"/>
        <v>0</v>
      </c>
      <c r="L319" s="102">
        <f t="shared" si="125"/>
        <v>0</v>
      </c>
      <c r="M319" s="102">
        <f t="shared" si="125"/>
        <v>0</v>
      </c>
      <c r="N319" s="102">
        <f>$U$1*18.65</f>
        <v>0</v>
      </c>
      <c r="O319" s="102">
        <f>$U$1*$O$316*S319/100</f>
        <v>0</v>
      </c>
      <c r="P319" s="102">
        <f>$U$1*$P$316*S319/100</f>
        <v>0</v>
      </c>
      <c r="R319" s="115">
        <v>11.38</v>
      </c>
      <c r="S319" s="44">
        <v>1.865</v>
      </c>
    </row>
    <row r="320" spans="2:21" ht="12.45" customHeight="1" x14ac:dyDescent="0.35">
      <c r="B320" s="103">
        <v>9010040014</v>
      </c>
      <c r="C320" s="52"/>
      <c r="D320" s="82">
        <v>120</v>
      </c>
      <c r="E320" s="52"/>
      <c r="F320" s="52"/>
      <c r="G320" s="102">
        <f t="shared" ref="G320:M320" si="126">$U$1*G316*$S$320/100</f>
        <v>0</v>
      </c>
      <c r="H320" s="102">
        <f t="shared" si="126"/>
        <v>0</v>
      </c>
      <c r="I320" s="102">
        <f t="shared" si="126"/>
        <v>0</v>
      </c>
      <c r="J320" s="102">
        <f t="shared" si="126"/>
        <v>0</v>
      </c>
      <c r="K320" s="102">
        <f t="shared" si="126"/>
        <v>0</v>
      </c>
      <c r="L320" s="102">
        <f t="shared" si="126"/>
        <v>0</v>
      </c>
      <c r="M320" s="102">
        <f t="shared" si="126"/>
        <v>0</v>
      </c>
      <c r="N320" s="102">
        <f>$U$1*30.15</f>
        <v>0</v>
      </c>
      <c r="O320" s="102">
        <f>$U$1*$O$316*S320/100</f>
        <v>0</v>
      </c>
      <c r="P320" s="102">
        <f>$U$1*$P$316*S320/100</f>
        <v>0</v>
      </c>
      <c r="R320" s="115">
        <v>15.69</v>
      </c>
      <c r="S320" s="44">
        <v>3.0150000000000001</v>
      </c>
    </row>
    <row r="321" spans="2:22" ht="7.5" customHeight="1" x14ac:dyDescent="0.35"/>
    <row r="322" spans="2:22" ht="7.5" customHeight="1" x14ac:dyDescent="0.35"/>
    <row r="323" spans="2:22" x14ac:dyDescent="0.35">
      <c r="B323" s="17" t="s">
        <v>608</v>
      </c>
    </row>
    <row r="324" spans="2:22" ht="12.45" customHeight="1" x14ac:dyDescent="0.35">
      <c r="N324" s="45"/>
      <c r="O324" s="45"/>
      <c r="P324" s="45"/>
      <c r="Q324" s="45"/>
      <c r="R324" s="45"/>
    </row>
    <row r="325" spans="2:22" s="45" customFormat="1" x14ac:dyDescent="0.35">
      <c r="B325" s="26" t="s">
        <v>27</v>
      </c>
      <c r="C325" s="28"/>
      <c r="D325" s="26" t="s">
        <v>29</v>
      </c>
      <c r="E325" s="28"/>
      <c r="F325" s="39"/>
      <c r="G325" s="67">
        <v>601</v>
      </c>
      <c r="H325" s="76">
        <f t="shared" ref="H325:N325" si="127">G326+1</f>
        <v>651</v>
      </c>
      <c r="I325" s="76">
        <f t="shared" si="127"/>
        <v>701</v>
      </c>
      <c r="J325" s="76">
        <f t="shared" si="127"/>
        <v>751</v>
      </c>
      <c r="K325" s="76">
        <f t="shared" si="127"/>
        <v>801</v>
      </c>
      <c r="L325" s="76">
        <f t="shared" si="127"/>
        <v>851</v>
      </c>
      <c r="M325" s="76">
        <f t="shared" si="127"/>
        <v>901</v>
      </c>
      <c r="N325" s="76">
        <f t="shared" si="127"/>
        <v>951</v>
      </c>
      <c r="O325" s="76">
        <f>N326+1</f>
        <v>1001</v>
      </c>
      <c r="P325" s="76">
        <f>O326+1</f>
        <v>1051</v>
      </c>
      <c r="S325" s="176" t="s">
        <v>22</v>
      </c>
      <c r="T325" s="53">
        <f>W1</f>
        <v>49</v>
      </c>
      <c r="U325" s="19"/>
    </row>
    <row r="326" spans="2:22" s="45" customFormat="1" ht="11.6" x14ac:dyDescent="0.35">
      <c r="C326" s="28"/>
      <c r="D326" s="27"/>
      <c r="E326" s="28"/>
      <c r="F326" s="23" t="s">
        <v>26</v>
      </c>
      <c r="G326" s="96">
        <f t="shared" ref="G326:M326" si="128">G325+$T$325</f>
        <v>650</v>
      </c>
      <c r="H326" s="96">
        <f t="shared" si="128"/>
        <v>700</v>
      </c>
      <c r="I326" s="96">
        <f t="shared" si="128"/>
        <v>750</v>
      </c>
      <c r="J326" s="96">
        <f t="shared" si="128"/>
        <v>800</v>
      </c>
      <c r="K326" s="96">
        <f t="shared" si="128"/>
        <v>850</v>
      </c>
      <c r="L326" s="96">
        <f t="shared" si="128"/>
        <v>900</v>
      </c>
      <c r="M326" s="96">
        <f t="shared" si="128"/>
        <v>950</v>
      </c>
      <c r="N326" s="96">
        <f>N325+$T$325</f>
        <v>1000</v>
      </c>
      <c r="O326" s="96">
        <f>O325+$T$325</f>
        <v>1050</v>
      </c>
      <c r="P326" s="96">
        <f>P325+$T$325</f>
        <v>1100</v>
      </c>
    </row>
    <row r="327" spans="2:22" s="45" customFormat="1" ht="12.45" customHeight="1" x14ac:dyDescent="0.35">
      <c r="B327" s="82"/>
      <c r="C327" s="82"/>
      <c r="D327" s="52"/>
      <c r="E327" s="52"/>
      <c r="F327" s="52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19"/>
      <c r="R327" s="45" t="s">
        <v>101</v>
      </c>
      <c r="S327" s="52" t="s">
        <v>103</v>
      </c>
    </row>
    <row r="328" spans="2:22" s="117" customFormat="1" ht="12.45" customHeight="1" x14ac:dyDescent="0.35">
      <c r="B328" s="103">
        <v>9010050011</v>
      </c>
      <c r="C328" s="82" t="s">
        <v>61</v>
      </c>
      <c r="D328" s="82"/>
      <c r="E328" s="52"/>
      <c r="F328" s="52"/>
      <c r="G328" s="102">
        <f t="shared" ref="G328:M328" si="129">$U$1*G326*$S$328/100</f>
        <v>0</v>
      </c>
      <c r="H328" s="102">
        <f t="shared" si="129"/>
        <v>0</v>
      </c>
      <c r="I328" s="102">
        <f t="shared" si="129"/>
        <v>0</v>
      </c>
      <c r="J328" s="102">
        <f t="shared" si="129"/>
        <v>0</v>
      </c>
      <c r="K328" s="102">
        <f t="shared" si="129"/>
        <v>0</v>
      </c>
      <c r="L328" s="102">
        <f t="shared" si="129"/>
        <v>0</v>
      </c>
      <c r="M328" s="102">
        <f t="shared" si="129"/>
        <v>0</v>
      </c>
      <c r="N328" s="102">
        <f>$U$1*27.45</f>
        <v>0</v>
      </c>
      <c r="O328" s="102">
        <f t="shared" ref="O328:O333" si="130">$U$1*$O$326*S328/100</f>
        <v>0</v>
      </c>
      <c r="P328" s="102">
        <f t="shared" ref="P328:P333" si="131">$U$1*$P$326*S328/100</f>
        <v>0</v>
      </c>
      <c r="R328" s="115">
        <v>15.53</v>
      </c>
      <c r="S328" s="44">
        <v>2.7450000000000001</v>
      </c>
    </row>
    <row r="329" spans="2:22" s="117" customFormat="1" ht="12.45" customHeight="1" x14ac:dyDescent="0.35">
      <c r="B329" s="103">
        <v>9010050013</v>
      </c>
      <c r="C329" s="82" t="s">
        <v>65</v>
      </c>
      <c r="D329" s="82"/>
      <c r="E329" s="52"/>
      <c r="F329" s="52"/>
      <c r="G329" s="102">
        <f t="shared" ref="G329:M329" si="132">$U$1*G326*$S$329/100</f>
        <v>0</v>
      </c>
      <c r="H329" s="102">
        <f t="shared" si="132"/>
        <v>0</v>
      </c>
      <c r="I329" s="102">
        <f t="shared" si="132"/>
        <v>0</v>
      </c>
      <c r="J329" s="102">
        <f t="shared" si="132"/>
        <v>0</v>
      </c>
      <c r="K329" s="102">
        <f t="shared" si="132"/>
        <v>0</v>
      </c>
      <c r="L329" s="102">
        <f t="shared" si="132"/>
        <v>0</v>
      </c>
      <c r="M329" s="102">
        <f t="shared" si="132"/>
        <v>0</v>
      </c>
      <c r="N329" s="102">
        <f>$U$1*24.3</f>
        <v>0</v>
      </c>
      <c r="O329" s="102">
        <f t="shared" si="130"/>
        <v>0</v>
      </c>
      <c r="P329" s="102">
        <f t="shared" si="131"/>
        <v>0</v>
      </c>
      <c r="R329" s="115">
        <v>15.53</v>
      </c>
      <c r="S329" s="44">
        <v>2.4300000000000002</v>
      </c>
    </row>
    <row r="330" spans="2:22" s="117" customFormat="1" ht="12.45" customHeight="1" x14ac:dyDescent="0.35">
      <c r="B330" s="103">
        <v>9010050014</v>
      </c>
      <c r="C330" s="82" t="s">
        <v>66</v>
      </c>
      <c r="D330" s="82"/>
      <c r="E330" s="52"/>
      <c r="F330" s="52"/>
      <c r="G330" s="102">
        <f t="shared" ref="G330:M330" si="133">$U$1*G326*$S$330/100</f>
        <v>0</v>
      </c>
      <c r="H330" s="102">
        <f t="shared" si="133"/>
        <v>0</v>
      </c>
      <c r="I330" s="102">
        <f t="shared" si="133"/>
        <v>0</v>
      </c>
      <c r="J330" s="102">
        <f t="shared" si="133"/>
        <v>0</v>
      </c>
      <c r="K330" s="102">
        <f t="shared" si="133"/>
        <v>0</v>
      </c>
      <c r="L330" s="102">
        <f t="shared" si="133"/>
        <v>0</v>
      </c>
      <c r="M330" s="102">
        <f t="shared" si="133"/>
        <v>0</v>
      </c>
      <c r="N330" s="102">
        <f>$U$1*24.3</f>
        <v>0</v>
      </c>
      <c r="O330" s="102">
        <f t="shared" si="130"/>
        <v>0</v>
      </c>
      <c r="P330" s="102">
        <f t="shared" si="131"/>
        <v>0</v>
      </c>
      <c r="R330" s="115">
        <v>16.29</v>
      </c>
      <c r="S330" s="44">
        <v>2.4300000000000002</v>
      </c>
    </row>
    <row r="331" spans="2:22" ht="12.45" customHeight="1" x14ac:dyDescent="0.35">
      <c r="B331" s="103">
        <v>9010050010</v>
      </c>
      <c r="C331" s="82" t="s">
        <v>62</v>
      </c>
      <c r="D331" s="82"/>
      <c r="E331" s="52"/>
      <c r="F331" s="52"/>
      <c r="G331" s="102">
        <f t="shared" ref="G331:M331" si="134">$U$1*G326*$S$331/100</f>
        <v>0</v>
      </c>
      <c r="H331" s="102">
        <f t="shared" si="134"/>
        <v>0</v>
      </c>
      <c r="I331" s="102">
        <f t="shared" si="134"/>
        <v>0</v>
      </c>
      <c r="J331" s="102">
        <f t="shared" si="134"/>
        <v>0</v>
      </c>
      <c r="K331" s="102">
        <f t="shared" si="134"/>
        <v>0</v>
      </c>
      <c r="L331" s="102">
        <f t="shared" si="134"/>
        <v>0</v>
      </c>
      <c r="M331" s="102">
        <f t="shared" si="134"/>
        <v>0</v>
      </c>
      <c r="N331" s="102">
        <f>$U$1*24.3</f>
        <v>0</v>
      </c>
      <c r="O331" s="102">
        <f t="shared" si="130"/>
        <v>0</v>
      </c>
      <c r="P331" s="102">
        <f t="shared" si="131"/>
        <v>0</v>
      </c>
      <c r="R331" s="115">
        <v>16.29</v>
      </c>
      <c r="S331" s="44">
        <v>2.4300000000000002</v>
      </c>
    </row>
    <row r="332" spans="2:22" ht="12.45" customHeight="1" x14ac:dyDescent="0.35">
      <c r="B332" s="103">
        <v>9010050009</v>
      </c>
      <c r="C332" s="52" t="s">
        <v>63</v>
      </c>
      <c r="D332" s="82"/>
      <c r="E332" s="52"/>
      <c r="F332" s="52"/>
      <c r="G332" s="102">
        <f t="shared" ref="G332:M332" si="135">$U$1*G326*$S$332/100</f>
        <v>0</v>
      </c>
      <c r="H332" s="102">
        <f t="shared" si="135"/>
        <v>0</v>
      </c>
      <c r="I332" s="102">
        <f t="shared" si="135"/>
        <v>0</v>
      </c>
      <c r="J332" s="102">
        <f t="shared" si="135"/>
        <v>0</v>
      </c>
      <c r="K332" s="102">
        <f t="shared" si="135"/>
        <v>0</v>
      </c>
      <c r="L332" s="102">
        <f t="shared" si="135"/>
        <v>0</v>
      </c>
      <c r="M332" s="102">
        <f t="shared" si="135"/>
        <v>0</v>
      </c>
      <c r="N332" s="102">
        <f>$U$1*23.15</f>
        <v>0</v>
      </c>
      <c r="O332" s="102">
        <f t="shared" si="130"/>
        <v>0</v>
      </c>
      <c r="P332" s="102">
        <f t="shared" si="131"/>
        <v>0</v>
      </c>
      <c r="R332" s="115">
        <v>16.29</v>
      </c>
      <c r="S332" s="44">
        <v>2.3149999999999999</v>
      </c>
    </row>
    <row r="333" spans="2:22" ht="12.45" customHeight="1" x14ac:dyDescent="0.35">
      <c r="B333" s="103">
        <v>9010050012</v>
      </c>
      <c r="C333" s="52" t="s">
        <v>64</v>
      </c>
      <c r="D333" s="82"/>
      <c r="E333" s="52"/>
      <c r="F333" s="52"/>
      <c r="G333" s="102">
        <f t="shared" ref="G333:M333" si="136">$U$1*G326*$S$333/100</f>
        <v>0</v>
      </c>
      <c r="H333" s="102">
        <f t="shared" si="136"/>
        <v>0</v>
      </c>
      <c r="I333" s="102">
        <f t="shared" si="136"/>
        <v>0</v>
      </c>
      <c r="J333" s="102">
        <f t="shared" si="136"/>
        <v>0</v>
      </c>
      <c r="K333" s="102">
        <f t="shared" si="136"/>
        <v>0</v>
      </c>
      <c r="L333" s="102">
        <f t="shared" si="136"/>
        <v>0</v>
      </c>
      <c r="M333" s="102">
        <f t="shared" si="136"/>
        <v>0</v>
      </c>
      <c r="N333" s="102">
        <f>$U$1*40.2</f>
        <v>0</v>
      </c>
      <c r="O333" s="102">
        <f t="shared" si="130"/>
        <v>0</v>
      </c>
      <c r="P333" s="102">
        <f t="shared" si="131"/>
        <v>0</v>
      </c>
      <c r="R333" s="115">
        <v>24.13</v>
      </c>
      <c r="S333" s="44">
        <v>4.0199999999999996</v>
      </c>
    </row>
    <row r="335" spans="2:22" x14ac:dyDescent="0.35">
      <c r="B335" s="17" t="s">
        <v>609</v>
      </c>
    </row>
    <row r="336" spans="2:22" ht="12.45" customHeight="1" x14ac:dyDescent="0.35">
      <c r="N336" s="45"/>
      <c r="O336" s="45"/>
      <c r="P336" s="45"/>
      <c r="Q336" s="45"/>
      <c r="R336" s="45"/>
      <c r="T336" s="45"/>
      <c r="U336" s="45"/>
      <c r="V336" s="45"/>
    </row>
    <row r="337" spans="2:23" s="45" customFormat="1" ht="12.45" customHeight="1" thickBot="1" x14ac:dyDescent="0.4">
      <c r="B337" s="26" t="s">
        <v>27</v>
      </c>
      <c r="C337" s="28"/>
      <c r="D337" s="39" t="s">
        <v>86</v>
      </c>
      <c r="E337" s="28"/>
      <c r="F337" s="23"/>
      <c r="G337" s="70"/>
      <c r="H337" s="70"/>
      <c r="I337" s="70"/>
      <c r="J337" s="70"/>
      <c r="K337" s="70"/>
      <c r="L337" s="70"/>
      <c r="M337" s="70"/>
      <c r="N337" s="70"/>
      <c r="O337" s="70"/>
      <c r="P337" s="78" t="s">
        <v>77</v>
      </c>
      <c r="Q337" s="42" t="s">
        <v>776</v>
      </c>
      <c r="R337" s="42" t="s">
        <v>779</v>
      </c>
      <c r="S337" s="42" t="s">
        <v>777</v>
      </c>
      <c r="T337" s="42" t="s">
        <v>778</v>
      </c>
      <c r="U337" s="42" t="s">
        <v>780</v>
      </c>
      <c r="V337" s="44" t="s">
        <v>39</v>
      </c>
      <c r="W337" s="44" t="s">
        <v>40</v>
      </c>
    </row>
    <row r="338" spans="2:23" s="117" customFormat="1" ht="12.45" customHeight="1" thickTop="1" thickBot="1" x14ac:dyDescent="0.4">
      <c r="B338" s="103">
        <v>9010050023</v>
      </c>
      <c r="C338" s="82"/>
      <c r="D338" s="82">
        <v>60</v>
      </c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118"/>
      <c r="P338" s="102">
        <f>($U$1*T338)*(100%+V338*(100%+W338))</f>
        <v>0</v>
      </c>
      <c r="Q338" s="362">
        <v>3.6</v>
      </c>
      <c r="R338" s="362">
        <v>3.84</v>
      </c>
      <c r="S338" s="362">
        <v>4.0999999999999996</v>
      </c>
      <c r="T338" s="320">
        <v>4.3600000000000003</v>
      </c>
      <c r="U338" s="364">
        <v>4.6100000000000003</v>
      </c>
      <c r="V338" s="361">
        <v>1.72</v>
      </c>
      <c r="W338" s="351">
        <v>0</v>
      </c>
    </row>
    <row r="339" spans="2:23" s="117" customFormat="1" ht="12.45" customHeight="1" thickTop="1" thickBot="1" x14ac:dyDescent="0.4">
      <c r="B339" s="103">
        <v>9010050024</v>
      </c>
      <c r="C339" s="82"/>
      <c r="D339" s="82">
        <v>80</v>
      </c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118"/>
      <c r="P339" s="102">
        <f>($U$1*T339)*(100%+V339*(100%+W339))</f>
        <v>0</v>
      </c>
      <c r="Q339" s="362">
        <v>3.6</v>
      </c>
      <c r="R339" s="362">
        <v>3.84</v>
      </c>
      <c r="S339" s="362">
        <v>4.0999999999999996</v>
      </c>
      <c r="T339" s="320">
        <v>4.3600000000000003</v>
      </c>
      <c r="U339" s="364">
        <v>4.6100000000000003</v>
      </c>
      <c r="V339" s="361">
        <v>1.72</v>
      </c>
      <c r="W339" s="351">
        <v>0</v>
      </c>
    </row>
    <row r="340" spans="2:23" s="117" customFormat="1" ht="12.45" customHeight="1" thickTop="1" thickBot="1" x14ac:dyDescent="0.4">
      <c r="B340" s="103">
        <v>9010050025</v>
      </c>
      <c r="C340" s="82"/>
      <c r="D340" s="82">
        <v>100</v>
      </c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118"/>
      <c r="P340" s="102">
        <f>($U$1*T340)*(100%+V340*(100%+W340))</f>
        <v>0</v>
      </c>
      <c r="Q340" s="363">
        <v>4</v>
      </c>
      <c r="R340" s="363">
        <v>4.29</v>
      </c>
      <c r="S340" s="362">
        <v>4.59</v>
      </c>
      <c r="T340" s="320">
        <v>4.8899999999999997</v>
      </c>
      <c r="U340" s="364">
        <v>5.19</v>
      </c>
      <c r="V340" s="361">
        <v>1.48</v>
      </c>
      <c r="W340" s="351">
        <v>0</v>
      </c>
    </row>
    <row r="341" spans="2:23" ht="12.45" customHeight="1" thickTop="1" thickBot="1" x14ac:dyDescent="0.4">
      <c r="B341" s="103">
        <v>9010050026</v>
      </c>
      <c r="C341" s="82"/>
      <c r="D341" s="82">
        <v>120</v>
      </c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118"/>
      <c r="P341" s="102">
        <f>($U$1*T341)*(100%+V341*(100%+W341))</f>
        <v>0</v>
      </c>
      <c r="Q341" s="362">
        <v>4.53</v>
      </c>
      <c r="R341" s="362">
        <v>4.8499999999999996</v>
      </c>
      <c r="S341" s="362">
        <v>5.19</v>
      </c>
      <c r="T341" s="320">
        <v>5.53</v>
      </c>
      <c r="U341" s="364">
        <v>5.87</v>
      </c>
      <c r="V341" s="361">
        <v>1.72</v>
      </c>
      <c r="W341" s="351">
        <v>0</v>
      </c>
    </row>
    <row r="342" spans="2:23" ht="12.45" customHeight="1" thickTop="1" x14ac:dyDescent="0.35">
      <c r="B342" s="82"/>
      <c r="C342" s="82"/>
      <c r="D342" s="8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</row>
    <row r="343" spans="2:23" ht="12.45" customHeight="1" x14ac:dyDescent="0.35">
      <c r="B343" s="82"/>
      <c r="C343" s="82"/>
      <c r="D343" s="8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</row>
    <row r="344" spans="2:23" ht="12.45" customHeight="1" x14ac:dyDescent="0.35">
      <c r="B344" s="82"/>
      <c r="C344" s="82"/>
      <c r="D344" s="8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</row>
    <row r="345" spans="2:23" ht="12.45" customHeight="1" x14ac:dyDescent="0.35">
      <c r="B345" s="82"/>
      <c r="C345" s="82"/>
      <c r="D345" s="8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</row>
    <row r="346" spans="2:23" ht="12.45" customHeight="1" x14ac:dyDescent="0.35">
      <c r="B346" s="82"/>
      <c r="C346" s="82"/>
      <c r="D346" s="8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</row>
    <row r="347" spans="2:23" x14ac:dyDescent="0.35">
      <c r="B347" s="17" t="s">
        <v>610</v>
      </c>
    </row>
    <row r="348" spans="2:23" x14ac:dyDescent="0.35">
      <c r="N348" s="45"/>
      <c r="O348" s="45"/>
      <c r="P348" s="45"/>
      <c r="Q348" s="45"/>
      <c r="R348" s="45"/>
    </row>
    <row r="349" spans="2:23" s="45" customFormat="1" x14ac:dyDescent="0.35">
      <c r="B349" s="26" t="s">
        <v>27</v>
      </c>
      <c r="C349" s="28"/>
      <c r="D349" s="26" t="s">
        <v>29</v>
      </c>
      <c r="E349" s="28"/>
      <c r="F349" s="39"/>
      <c r="G349" s="67">
        <v>601</v>
      </c>
      <c r="H349" s="76">
        <f t="shared" ref="H349:N349" si="137">G350+1</f>
        <v>651</v>
      </c>
      <c r="I349" s="76">
        <f t="shared" si="137"/>
        <v>701</v>
      </c>
      <c r="J349" s="76">
        <f t="shared" si="137"/>
        <v>751</v>
      </c>
      <c r="K349" s="76">
        <f t="shared" si="137"/>
        <v>801</v>
      </c>
      <c r="L349" s="76">
        <f t="shared" si="137"/>
        <v>851</v>
      </c>
      <c r="M349" s="76">
        <f t="shared" si="137"/>
        <v>901</v>
      </c>
      <c r="N349" s="76">
        <f t="shared" si="137"/>
        <v>951</v>
      </c>
      <c r="O349" s="76">
        <f>N350+1</f>
        <v>1001</v>
      </c>
      <c r="P349" s="76">
        <f>O350+1</f>
        <v>1051</v>
      </c>
      <c r="S349" s="176" t="s">
        <v>22</v>
      </c>
      <c r="T349" s="53">
        <f>W1</f>
        <v>49</v>
      </c>
      <c r="U349" s="19"/>
    </row>
    <row r="350" spans="2:23" s="45" customFormat="1" ht="11.6" x14ac:dyDescent="0.35">
      <c r="C350" s="28"/>
      <c r="D350" s="27"/>
      <c r="E350" s="28"/>
      <c r="F350" s="23" t="s">
        <v>26</v>
      </c>
      <c r="G350" s="96">
        <f t="shared" ref="G350:M350" si="138">G349+$T$349</f>
        <v>650</v>
      </c>
      <c r="H350" s="96">
        <f t="shared" si="138"/>
        <v>700</v>
      </c>
      <c r="I350" s="96">
        <f t="shared" si="138"/>
        <v>750</v>
      </c>
      <c r="J350" s="96">
        <f t="shared" si="138"/>
        <v>800</v>
      </c>
      <c r="K350" s="96">
        <f t="shared" si="138"/>
        <v>850</v>
      </c>
      <c r="L350" s="96">
        <f t="shared" si="138"/>
        <v>900</v>
      </c>
      <c r="M350" s="96">
        <f t="shared" si="138"/>
        <v>950</v>
      </c>
      <c r="N350" s="96">
        <f>N349+$T$349</f>
        <v>1000</v>
      </c>
      <c r="O350" s="96">
        <f>O349+$T$349</f>
        <v>1050</v>
      </c>
      <c r="P350" s="96">
        <f>P349+$T$349</f>
        <v>1100</v>
      </c>
    </row>
    <row r="351" spans="2:23" s="45" customFormat="1" ht="12.45" customHeight="1" x14ac:dyDescent="0.35">
      <c r="B351" s="82"/>
      <c r="C351" s="82"/>
      <c r="D351" s="52"/>
      <c r="E351" s="52"/>
      <c r="F351" s="52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19"/>
      <c r="R351" s="45" t="s">
        <v>101</v>
      </c>
      <c r="S351" s="52" t="s">
        <v>103</v>
      </c>
    </row>
    <row r="352" spans="2:23" s="120" customFormat="1" ht="12.45" customHeight="1" x14ac:dyDescent="0.35">
      <c r="B352" s="103">
        <v>9010050005</v>
      </c>
      <c r="C352" s="82"/>
      <c r="D352" s="82">
        <v>80</v>
      </c>
      <c r="E352" s="52"/>
      <c r="F352" s="88"/>
      <c r="G352" s="102">
        <f t="shared" ref="G352:M352" si="139">$U$1*G350*$S$352/100</f>
        <v>0</v>
      </c>
      <c r="H352" s="102">
        <f t="shared" si="139"/>
        <v>0</v>
      </c>
      <c r="I352" s="102">
        <f t="shared" si="139"/>
        <v>0</v>
      </c>
      <c r="J352" s="102">
        <f t="shared" si="139"/>
        <v>0</v>
      </c>
      <c r="K352" s="102">
        <f t="shared" si="139"/>
        <v>0</v>
      </c>
      <c r="L352" s="102">
        <f t="shared" si="139"/>
        <v>0</v>
      </c>
      <c r="M352" s="102">
        <f t="shared" si="139"/>
        <v>0</v>
      </c>
      <c r="N352" s="102">
        <f>$U$1*36.4</f>
        <v>0</v>
      </c>
      <c r="O352" s="102">
        <f>$U$1*$O$350*S352/100</f>
        <v>0</v>
      </c>
      <c r="P352" s="102">
        <f>$U$1*$P$350*S352/100</f>
        <v>0</v>
      </c>
      <c r="R352" s="115">
        <v>18.02</v>
      </c>
      <c r="S352" s="44">
        <v>3.64</v>
      </c>
    </row>
    <row r="353" spans="2:21" s="117" customFormat="1" ht="12.45" customHeight="1" x14ac:dyDescent="0.35">
      <c r="B353" s="103">
        <v>9010050006</v>
      </c>
      <c r="C353" s="82"/>
      <c r="D353" s="82">
        <v>100</v>
      </c>
      <c r="E353" s="52"/>
      <c r="F353" s="52"/>
      <c r="G353" s="102">
        <f t="shared" ref="G353:M353" si="140">$U$1*G350*$S$353/100</f>
        <v>0</v>
      </c>
      <c r="H353" s="102">
        <f t="shared" si="140"/>
        <v>0</v>
      </c>
      <c r="I353" s="102">
        <f t="shared" si="140"/>
        <v>0</v>
      </c>
      <c r="J353" s="102">
        <f t="shared" si="140"/>
        <v>0</v>
      </c>
      <c r="K353" s="102">
        <f t="shared" si="140"/>
        <v>0</v>
      </c>
      <c r="L353" s="102">
        <f t="shared" si="140"/>
        <v>0</v>
      </c>
      <c r="M353" s="102">
        <f t="shared" si="140"/>
        <v>0</v>
      </c>
      <c r="N353" s="102">
        <f>$U$1*36.4</f>
        <v>0</v>
      </c>
      <c r="O353" s="102">
        <f>$U$1*$O$350*S353/100</f>
        <v>0</v>
      </c>
      <c r="P353" s="102">
        <f>$U$1*$P$350*S353/100</f>
        <v>0</v>
      </c>
      <c r="R353" s="115">
        <v>18.02</v>
      </c>
      <c r="S353" s="44">
        <v>3.64</v>
      </c>
    </row>
    <row r="354" spans="2:21" ht="12.45" customHeight="1" x14ac:dyDescent="0.35">
      <c r="B354" s="103">
        <v>9010050007</v>
      </c>
      <c r="C354" s="82"/>
      <c r="D354" s="82">
        <v>120</v>
      </c>
      <c r="E354" s="52"/>
      <c r="F354" s="52"/>
      <c r="G354" s="102">
        <f t="shared" ref="G354:M354" si="141">$U$1*G350*$S$354/100</f>
        <v>0</v>
      </c>
      <c r="H354" s="102">
        <f t="shared" si="141"/>
        <v>0</v>
      </c>
      <c r="I354" s="102">
        <f t="shared" si="141"/>
        <v>0</v>
      </c>
      <c r="J354" s="102">
        <f t="shared" si="141"/>
        <v>0</v>
      </c>
      <c r="K354" s="102">
        <f t="shared" si="141"/>
        <v>0</v>
      </c>
      <c r="L354" s="102">
        <f t="shared" si="141"/>
        <v>0</v>
      </c>
      <c r="M354" s="102">
        <f t="shared" si="141"/>
        <v>0</v>
      </c>
      <c r="N354" s="102">
        <f>$U$1*69.9</f>
        <v>0</v>
      </c>
      <c r="O354" s="102">
        <f>$U$1*$O$350*S354/100</f>
        <v>0</v>
      </c>
      <c r="P354" s="102">
        <f>$U$1*$P$350*S354/100</f>
        <v>0</v>
      </c>
      <c r="R354" s="115">
        <v>34.770000000000003</v>
      </c>
      <c r="S354" s="44">
        <v>6.99</v>
      </c>
    </row>
    <row r="355" spans="2:21" ht="7.5" customHeight="1" x14ac:dyDescent="0.35">
      <c r="B355" s="103"/>
      <c r="C355" s="82"/>
      <c r="D355" s="82"/>
      <c r="E355" s="52"/>
      <c r="F355" s="52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R355" s="115"/>
      <c r="S355" s="44"/>
    </row>
    <row r="356" spans="2:21" ht="7.5" customHeight="1" x14ac:dyDescent="0.35">
      <c r="B356" s="82"/>
      <c r="C356" s="82"/>
      <c r="D356" s="8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R356" s="115"/>
      <c r="S356" s="44"/>
    </row>
    <row r="357" spans="2:21" x14ac:dyDescent="0.35">
      <c r="B357" s="17" t="s">
        <v>611</v>
      </c>
    </row>
    <row r="358" spans="2:21" x14ac:dyDescent="0.35">
      <c r="N358" s="45"/>
      <c r="O358" s="45"/>
      <c r="P358" s="45"/>
      <c r="Q358" s="45"/>
      <c r="R358" s="45"/>
    </row>
    <row r="359" spans="2:21" s="45" customFormat="1" x14ac:dyDescent="0.35">
      <c r="B359" s="26" t="s">
        <v>27</v>
      </c>
      <c r="C359" s="28"/>
      <c r="D359" s="26" t="s">
        <v>29</v>
      </c>
      <c r="E359" s="28"/>
      <c r="F359" s="39"/>
      <c r="G359" s="67">
        <v>601</v>
      </c>
      <c r="H359" s="76">
        <f t="shared" ref="H359:P359" si="142">G360+1</f>
        <v>651</v>
      </c>
      <c r="I359" s="76">
        <f t="shared" si="142"/>
        <v>701</v>
      </c>
      <c r="J359" s="76">
        <f t="shared" si="142"/>
        <v>751</v>
      </c>
      <c r="K359" s="76">
        <f t="shared" si="142"/>
        <v>801</v>
      </c>
      <c r="L359" s="76">
        <f t="shared" si="142"/>
        <v>851</v>
      </c>
      <c r="M359" s="76">
        <f t="shared" si="142"/>
        <v>901</v>
      </c>
      <c r="N359" s="76">
        <f t="shared" si="142"/>
        <v>951</v>
      </c>
      <c r="O359" s="76">
        <f t="shared" si="142"/>
        <v>1001</v>
      </c>
      <c r="P359" s="76">
        <f t="shared" si="142"/>
        <v>1051</v>
      </c>
      <c r="S359" s="176" t="s">
        <v>22</v>
      </c>
      <c r="T359" s="53">
        <f>W1</f>
        <v>49</v>
      </c>
      <c r="U359" s="19"/>
    </row>
    <row r="360" spans="2:21" s="45" customFormat="1" ht="11.6" x14ac:dyDescent="0.35">
      <c r="C360" s="28"/>
      <c r="D360" s="27"/>
      <c r="E360" s="28"/>
      <c r="F360" s="23" t="s">
        <v>26</v>
      </c>
      <c r="G360" s="96">
        <f>G359+$T$359</f>
        <v>650</v>
      </c>
      <c r="H360" s="96">
        <f t="shared" ref="H360:M360" si="143">H359+$T$359</f>
        <v>700</v>
      </c>
      <c r="I360" s="96">
        <f t="shared" si="143"/>
        <v>750</v>
      </c>
      <c r="J360" s="96">
        <f t="shared" si="143"/>
        <v>800</v>
      </c>
      <c r="K360" s="96">
        <f t="shared" si="143"/>
        <v>850</v>
      </c>
      <c r="L360" s="96">
        <f t="shared" si="143"/>
        <v>900</v>
      </c>
      <c r="M360" s="96">
        <f t="shared" si="143"/>
        <v>950</v>
      </c>
      <c r="N360" s="96">
        <f>N359+$T$359</f>
        <v>1000</v>
      </c>
      <c r="O360" s="96">
        <f>O359+$T$359</f>
        <v>1050</v>
      </c>
      <c r="P360" s="96">
        <f>P359+$T$359</f>
        <v>1100</v>
      </c>
    </row>
    <row r="361" spans="2:21" s="45" customFormat="1" ht="12.45" customHeight="1" x14ac:dyDescent="0.35">
      <c r="B361" s="82"/>
      <c r="C361" s="82"/>
      <c r="D361" s="52"/>
      <c r="E361" s="52"/>
      <c r="F361" s="52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19"/>
      <c r="R361" s="45" t="s">
        <v>101</v>
      </c>
      <c r="S361" s="52" t="s">
        <v>103</v>
      </c>
    </row>
    <row r="362" spans="2:21" s="120" customFormat="1" ht="12.45" customHeight="1" x14ac:dyDescent="0.35">
      <c r="B362" s="103">
        <v>9010050029</v>
      </c>
      <c r="C362" s="82"/>
      <c r="D362" s="82">
        <v>100</v>
      </c>
      <c r="E362" s="52"/>
      <c r="F362" s="88"/>
      <c r="G362" s="102">
        <f t="shared" ref="G362:O362" si="144">$U$1*G360*$S$362/100</f>
        <v>0</v>
      </c>
      <c r="H362" s="102">
        <f t="shared" si="144"/>
        <v>0</v>
      </c>
      <c r="I362" s="102">
        <f t="shared" si="144"/>
        <v>0</v>
      </c>
      <c r="J362" s="102">
        <f t="shared" si="144"/>
        <v>0</v>
      </c>
      <c r="K362" s="102">
        <f t="shared" si="144"/>
        <v>0</v>
      </c>
      <c r="L362" s="102">
        <f t="shared" si="144"/>
        <v>0</v>
      </c>
      <c r="M362" s="102">
        <f t="shared" si="144"/>
        <v>0</v>
      </c>
      <c r="N362" s="102">
        <f t="shared" si="144"/>
        <v>0</v>
      </c>
      <c r="O362" s="102">
        <f t="shared" si="144"/>
        <v>0</v>
      </c>
      <c r="P362" s="102">
        <f>$U$1*P360*$S$362/100</f>
        <v>0</v>
      </c>
      <c r="R362" s="115">
        <v>68.31</v>
      </c>
      <c r="S362" s="121">
        <v>12</v>
      </c>
      <c r="T362" s="83"/>
    </row>
    <row r="363" spans="2:21" s="117" customFormat="1" ht="12.45" customHeight="1" x14ac:dyDescent="0.35">
      <c r="B363" s="103">
        <v>9010050030</v>
      </c>
      <c r="C363" s="82"/>
      <c r="D363" s="82">
        <v>120</v>
      </c>
      <c r="E363" s="52"/>
      <c r="F363" s="52"/>
      <c r="G363" s="102">
        <f t="shared" ref="G363:N363" si="145">$U$1*G360*$S$363/100</f>
        <v>0</v>
      </c>
      <c r="H363" s="102">
        <f t="shared" si="145"/>
        <v>0</v>
      </c>
      <c r="I363" s="102">
        <f t="shared" si="145"/>
        <v>0</v>
      </c>
      <c r="J363" s="102">
        <f t="shared" si="145"/>
        <v>0</v>
      </c>
      <c r="K363" s="102">
        <f t="shared" si="145"/>
        <v>0</v>
      </c>
      <c r="L363" s="102">
        <f t="shared" si="145"/>
        <v>0</v>
      </c>
      <c r="M363" s="102">
        <f t="shared" si="145"/>
        <v>0</v>
      </c>
      <c r="N363" s="102">
        <f t="shared" si="145"/>
        <v>0</v>
      </c>
      <c r="O363" s="102">
        <f>$U$1*O360*$S$363/100</f>
        <v>0</v>
      </c>
      <c r="P363" s="102">
        <f>$U$1*P360*$S$363/100</f>
        <v>0</v>
      </c>
      <c r="R363" s="115">
        <v>81.92</v>
      </c>
      <c r="S363" s="121">
        <v>14.5</v>
      </c>
      <c r="T363" s="83"/>
    </row>
    <row r="364" spans="2:21" ht="15" customHeight="1" x14ac:dyDescent="0.35">
      <c r="B364" s="82"/>
      <c r="C364" s="82"/>
      <c r="D364" s="8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R364" s="115"/>
      <c r="S364" s="44"/>
    </row>
    <row r="365" spans="2:21" x14ac:dyDescent="0.35">
      <c r="B365" s="17" t="s">
        <v>612</v>
      </c>
      <c r="R365" s="115"/>
      <c r="S365" s="44"/>
    </row>
    <row r="366" spans="2:21" x14ac:dyDescent="0.35">
      <c r="N366" s="45"/>
      <c r="O366" s="45"/>
      <c r="P366" s="45"/>
      <c r="Q366" s="45"/>
      <c r="R366" s="115"/>
      <c r="S366" s="44"/>
    </row>
    <row r="367" spans="2:21" s="45" customFormat="1" x14ac:dyDescent="0.35">
      <c r="B367" s="26" t="s">
        <v>27</v>
      </c>
      <c r="C367" s="28"/>
      <c r="D367" s="26" t="s">
        <v>29</v>
      </c>
      <c r="E367" s="28"/>
      <c r="F367" s="39"/>
      <c r="G367" s="67">
        <v>601</v>
      </c>
      <c r="H367" s="76">
        <f t="shared" ref="H367:N367" si="146">G368+1</f>
        <v>651</v>
      </c>
      <c r="I367" s="76">
        <f t="shared" si="146"/>
        <v>701</v>
      </c>
      <c r="J367" s="76">
        <f t="shared" si="146"/>
        <v>751</v>
      </c>
      <c r="K367" s="76">
        <f t="shared" si="146"/>
        <v>801</v>
      </c>
      <c r="L367" s="76">
        <f t="shared" si="146"/>
        <v>851</v>
      </c>
      <c r="M367" s="76">
        <f t="shared" si="146"/>
        <v>901</v>
      </c>
      <c r="N367" s="76">
        <f t="shared" si="146"/>
        <v>951</v>
      </c>
      <c r="O367" s="76">
        <f>N368+1</f>
        <v>1001</v>
      </c>
      <c r="P367" s="76">
        <f>O368+1</f>
        <v>1051</v>
      </c>
      <c r="S367" s="176" t="s">
        <v>22</v>
      </c>
      <c r="T367" s="53">
        <f>W1</f>
        <v>49</v>
      </c>
      <c r="U367" s="19"/>
    </row>
    <row r="368" spans="2:21" s="45" customFormat="1" ht="11.6" x14ac:dyDescent="0.35">
      <c r="C368" s="28"/>
      <c r="D368" s="27"/>
      <c r="E368" s="28"/>
      <c r="F368" s="23" t="s">
        <v>26</v>
      </c>
      <c r="G368" s="96">
        <f t="shared" ref="G368:M368" si="147">G367+$T$367</f>
        <v>650</v>
      </c>
      <c r="H368" s="96">
        <f t="shared" si="147"/>
        <v>700</v>
      </c>
      <c r="I368" s="96">
        <f t="shared" si="147"/>
        <v>750</v>
      </c>
      <c r="J368" s="96">
        <f t="shared" si="147"/>
        <v>800</v>
      </c>
      <c r="K368" s="96">
        <f t="shared" si="147"/>
        <v>850</v>
      </c>
      <c r="L368" s="96">
        <f t="shared" si="147"/>
        <v>900</v>
      </c>
      <c r="M368" s="96">
        <f t="shared" si="147"/>
        <v>950</v>
      </c>
      <c r="N368" s="96">
        <f>N367+$T$367</f>
        <v>1000</v>
      </c>
      <c r="O368" s="96">
        <f>O367+$T$367</f>
        <v>1050</v>
      </c>
      <c r="P368" s="96">
        <f>P367+$T$367</f>
        <v>1100</v>
      </c>
    </row>
    <row r="369" spans="2:22" s="45" customFormat="1" ht="12.45" customHeight="1" x14ac:dyDescent="0.35">
      <c r="B369" s="82"/>
      <c r="C369" s="82"/>
      <c r="D369" s="52"/>
      <c r="E369" s="52"/>
      <c r="F369" s="52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19"/>
      <c r="R369" s="45" t="s">
        <v>101</v>
      </c>
      <c r="S369" s="52" t="s">
        <v>103</v>
      </c>
    </row>
    <row r="370" spans="2:22" s="120" customFormat="1" ht="12.45" customHeight="1" x14ac:dyDescent="0.35">
      <c r="B370" s="100"/>
      <c r="C370" s="100"/>
      <c r="D370" s="100">
        <v>80</v>
      </c>
      <c r="E370" s="88"/>
      <c r="F370" s="88"/>
      <c r="G370" s="91">
        <f t="shared" ref="G370:M370" si="148">$U$1*G368*$S$370/100</f>
        <v>0</v>
      </c>
      <c r="H370" s="91">
        <f t="shared" si="148"/>
        <v>0</v>
      </c>
      <c r="I370" s="91">
        <f t="shared" si="148"/>
        <v>0</v>
      </c>
      <c r="J370" s="91">
        <f t="shared" si="148"/>
        <v>0</v>
      </c>
      <c r="K370" s="91">
        <f t="shared" si="148"/>
        <v>0</v>
      </c>
      <c r="L370" s="91">
        <f t="shared" si="148"/>
        <v>0</v>
      </c>
      <c r="M370" s="91">
        <f t="shared" si="148"/>
        <v>0</v>
      </c>
      <c r="N370" s="91">
        <f>$U$1*80.5</f>
        <v>0</v>
      </c>
      <c r="O370" s="91">
        <f>$U$1*$O$368*S370/100</f>
        <v>0</v>
      </c>
      <c r="P370" s="91">
        <f>$U$1*$P$368*S370/100</f>
        <v>0</v>
      </c>
      <c r="R370" s="115">
        <v>0</v>
      </c>
      <c r="S370" s="44">
        <v>8.0500000000000007</v>
      </c>
    </row>
    <row r="371" spans="2:22" s="117" customFormat="1" ht="12.45" customHeight="1" x14ac:dyDescent="0.35">
      <c r="B371" s="103">
        <v>9010050008</v>
      </c>
      <c r="C371" s="82"/>
      <c r="D371" s="82">
        <v>100</v>
      </c>
      <c r="E371" s="52"/>
      <c r="F371" s="52"/>
      <c r="G371" s="102">
        <f t="shared" ref="G371:M371" si="149">$U$1*G368*$S$371/100</f>
        <v>0</v>
      </c>
      <c r="H371" s="102">
        <f t="shared" si="149"/>
        <v>0</v>
      </c>
      <c r="I371" s="102">
        <f t="shared" si="149"/>
        <v>0</v>
      </c>
      <c r="J371" s="102">
        <f t="shared" si="149"/>
        <v>0</v>
      </c>
      <c r="K371" s="102">
        <f t="shared" si="149"/>
        <v>0</v>
      </c>
      <c r="L371" s="102">
        <f t="shared" si="149"/>
        <v>0</v>
      </c>
      <c r="M371" s="102">
        <f t="shared" si="149"/>
        <v>0</v>
      </c>
      <c r="N371" s="102">
        <f>$U$1*81.15</f>
        <v>0</v>
      </c>
      <c r="O371" s="102">
        <f>$U$1*$O$368*S371/100</f>
        <v>0</v>
      </c>
      <c r="P371" s="102">
        <f>$U$1*$P$368*S371/100</f>
        <v>0</v>
      </c>
      <c r="R371" s="115">
        <v>65.3</v>
      </c>
      <c r="S371" s="305">
        <v>8.1150000000000002</v>
      </c>
    </row>
    <row r="372" spans="2:22" ht="15" customHeight="1" x14ac:dyDescent="0.35"/>
    <row r="373" spans="2:22" x14ac:dyDescent="0.35">
      <c r="B373" s="17" t="s">
        <v>613</v>
      </c>
    </row>
    <row r="374" spans="2:22" x14ac:dyDescent="0.35">
      <c r="N374" s="45"/>
      <c r="O374" s="45"/>
      <c r="P374" s="45"/>
      <c r="Q374" s="45"/>
      <c r="R374" s="45"/>
    </row>
    <row r="375" spans="2:22" s="45" customFormat="1" ht="12.45" customHeight="1" thickBot="1" x14ac:dyDescent="0.4">
      <c r="B375" s="26" t="s">
        <v>27</v>
      </c>
      <c r="C375" s="28"/>
      <c r="D375" s="39" t="s">
        <v>86</v>
      </c>
      <c r="E375" s="28"/>
      <c r="F375" s="23"/>
      <c r="G375" s="70"/>
      <c r="H375" s="70"/>
      <c r="I375" s="70"/>
      <c r="J375" s="70"/>
      <c r="K375" s="70"/>
      <c r="L375" s="70"/>
      <c r="M375" s="70"/>
      <c r="N375" s="70"/>
      <c r="O375" s="70"/>
      <c r="P375" s="78" t="s">
        <v>77</v>
      </c>
      <c r="Q375" s="346" t="s">
        <v>90</v>
      </c>
      <c r="R375" s="42" t="s">
        <v>422</v>
      </c>
      <c r="S375" s="42" t="s">
        <v>30</v>
      </c>
      <c r="T375" s="44" t="s">
        <v>39</v>
      </c>
      <c r="U375" s="44" t="s">
        <v>40</v>
      </c>
    </row>
    <row r="376" spans="2:22" s="117" customFormat="1" ht="12.45" customHeight="1" thickTop="1" thickBot="1" x14ac:dyDescent="0.4">
      <c r="B376" s="103">
        <v>9010050017</v>
      </c>
      <c r="C376" s="82" t="s">
        <v>183</v>
      </c>
      <c r="D376" s="82"/>
      <c r="E376" s="52"/>
      <c r="F376" s="52"/>
      <c r="G376" s="106"/>
      <c r="H376" s="106"/>
      <c r="I376" s="106"/>
      <c r="J376" s="106"/>
      <c r="K376" s="106"/>
      <c r="L376" s="106"/>
      <c r="M376" s="106"/>
      <c r="N376" s="106"/>
      <c r="O376" s="122"/>
      <c r="P376" s="102">
        <f>($U$1*Q376)*(100%+T376*(100%+U376))</f>
        <v>0</v>
      </c>
      <c r="Q376" s="347">
        <f>R376*(100%-S376)</f>
        <v>2.109156</v>
      </c>
      <c r="R376" s="320">
        <v>4.22</v>
      </c>
      <c r="S376" s="349">
        <v>0.50019999999999998</v>
      </c>
      <c r="T376" s="351">
        <v>0.64</v>
      </c>
      <c r="U376" s="348">
        <v>0</v>
      </c>
      <c r="V376" s="409" t="s">
        <v>746</v>
      </c>
    </row>
    <row r="377" spans="2:22" s="117" customFormat="1" ht="12.45" customHeight="1" thickTop="1" thickBot="1" x14ac:dyDescent="0.4">
      <c r="B377" s="103">
        <v>9010050015</v>
      </c>
      <c r="C377" s="82" t="s">
        <v>181</v>
      </c>
      <c r="D377" s="82"/>
      <c r="E377" s="52"/>
      <c r="F377" s="52"/>
      <c r="G377" s="106"/>
      <c r="H377" s="106"/>
      <c r="I377" s="106"/>
      <c r="J377" s="106"/>
      <c r="K377" s="106"/>
      <c r="L377" s="106"/>
      <c r="M377" s="106"/>
      <c r="N377" s="106"/>
      <c r="O377" s="122"/>
      <c r="P377" s="102">
        <f>($U$1*Q377)*(100%+T377*(100%+U377))</f>
        <v>0</v>
      </c>
      <c r="Q377" s="347">
        <f t="shared" ref="Q377:Q379" si="150">R377*(100%-S377)</f>
        <v>2.109156</v>
      </c>
      <c r="R377" s="320">
        <v>4.22</v>
      </c>
      <c r="S377" s="349">
        <v>0.50019999999999998</v>
      </c>
      <c r="T377" s="351">
        <v>0.64</v>
      </c>
      <c r="U377" s="348">
        <v>0</v>
      </c>
      <c r="V377" s="410"/>
    </row>
    <row r="378" spans="2:22" s="117" customFormat="1" ht="12.45" customHeight="1" thickTop="1" thickBot="1" x14ac:dyDescent="0.4">
      <c r="B378" s="103">
        <v>9010050016</v>
      </c>
      <c r="C378" s="82" t="s">
        <v>67</v>
      </c>
      <c r="D378" s="82"/>
      <c r="E378" s="52"/>
      <c r="F378" s="52"/>
      <c r="G378" s="106"/>
      <c r="H378" s="106"/>
      <c r="I378" s="106"/>
      <c r="J378" s="106"/>
      <c r="K378" s="106"/>
      <c r="L378" s="106"/>
      <c r="M378" s="106"/>
      <c r="N378" s="106"/>
      <c r="O378" s="122"/>
      <c r="P378" s="102">
        <f>($U$1*Q378)*(100%+T378*(100%+U378))</f>
        <v>0</v>
      </c>
      <c r="Q378" s="347">
        <f t="shared" si="150"/>
        <v>4.0333860000000001</v>
      </c>
      <c r="R378" s="320">
        <v>8.07</v>
      </c>
      <c r="S378" s="349">
        <v>0.50019999999999998</v>
      </c>
      <c r="T378" s="351">
        <v>0.49</v>
      </c>
      <c r="U378" s="348">
        <v>0</v>
      </c>
      <c r="V378" s="410"/>
    </row>
    <row r="379" spans="2:22" s="120" customFormat="1" ht="12.45" customHeight="1" thickTop="1" thickBot="1" x14ac:dyDescent="0.4">
      <c r="B379" s="100"/>
      <c r="C379" s="100" t="s">
        <v>69</v>
      </c>
      <c r="D379" s="100"/>
      <c r="E379" s="88"/>
      <c r="F379" s="88"/>
      <c r="G379" s="106"/>
      <c r="H379" s="106"/>
      <c r="I379" s="106"/>
      <c r="J379" s="106"/>
      <c r="K379" s="106"/>
      <c r="L379" s="106"/>
      <c r="M379" s="106"/>
      <c r="N379" s="106"/>
      <c r="O379" s="122"/>
      <c r="P379" s="91">
        <f>($U$1*Q379)*(100%+T379*(100%+U379))</f>
        <v>0</v>
      </c>
      <c r="Q379" s="347">
        <f t="shared" si="150"/>
        <v>4.0333860000000001</v>
      </c>
      <c r="R379" s="320">
        <v>8.07</v>
      </c>
      <c r="S379" s="349">
        <v>0.50019999999999998</v>
      </c>
      <c r="T379" s="351">
        <v>0.43</v>
      </c>
      <c r="U379" s="348">
        <v>0</v>
      </c>
      <c r="V379" s="410"/>
    </row>
    <row r="380" spans="2:22" ht="18.45" thickTop="1" x14ac:dyDescent="0.35">
      <c r="P380" s="123"/>
      <c r="T380" s="18"/>
      <c r="U380" s="18"/>
      <c r="V380" s="410"/>
    </row>
    <row r="381" spans="2:22" x14ac:dyDescent="0.35">
      <c r="B381" s="17" t="s">
        <v>104</v>
      </c>
      <c r="T381" s="18"/>
      <c r="U381" s="18"/>
      <c r="V381" s="410"/>
    </row>
    <row r="382" spans="2:22" x14ac:dyDescent="0.35">
      <c r="P382" s="45"/>
      <c r="Q382" s="45"/>
      <c r="T382" s="18"/>
      <c r="U382" s="18"/>
      <c r="V382" s="410"/>
    </row>
    <row r="383" spans="2:22" s="45" customFormat="1" ht="12.45" customHeight="1" thickBot="1" x14ac:dyDescent="0.4">
      <c r="B383" s="26" t="s">
        <v>27</v>
      </c>
      <c r="C383" s="28"/>
      <c r="D383" s="39" t="s">
        <v>86</v>
      </c>
      <c r="E383" s="28"/>
      <c r="F383" s="23"/>
      <c r="G383" s="70"/>
      <c r="H383" s="70"/>
      <c r="I383" s="70"/>
      <c r="J383" s="70"/>
      <c r="K383" s="70"/>
      <c r="L383" s="70"/>
      <c r="M383" s="70"/>
      <c r="N383" s="70"/>
      <c r="O383" s="70"/>
      <c r="P383" s="78" t="s">
        <v>77</v>
      </c>
      <c r="Q383" s="346" t="s">
        <v>90</v>
      </c>
      <c r="R383" s="42" t="s">
        <v>90</v>
      </c>
      <c r="S383" s="42" t="s">
        <v>30</v>
      </c>
      <c r="T383" s="44" t="s">
        <v>39</v>
      </c>
      <c r="U383" s="44" t="s">
        <v>40</v>
      </c>
      <c r="V383" s="410"/>
    </row>
    <row r="384" spans="2:22" s="117" customFormat="1" ht="12.45" customHeight="1" thickTop="1" thickBot="1" x14ac:dyDescent="0.4">
      <c r="B384" s="103">
        <v>9010050018</v>
      </c>
      <c r="C384" s="82" t="s">
        <v>105</v>
      </c>
      <c r="D384" s="82"/>
      <c r="E384" s="52"/>
      <c r="F384" s="52"/>
      <c r="G384" s="106"/>
      <c r="H384" s="106"/>
      <c r="I384" s="106"/>
      <c r="J384" s="106"/>
      <c r="K384" s="106"/>
      <c r="L384" s="106"/>
      <c r="M384" s="106"/>
      <c r="N384" s="106"/>
      <c r="O384" s="122"/>
      <c r="P384" s="102">
        <f>($U$1*Q384)*(100%+T384*(100%+U384))</f>
        <v>0</v>
      </c>
      <c r="Q384" s="347">
        <f>R384*(100%-S384)</f>
        <v>11.700318000000001</v>
      </c>
      <c r="R384" s="320">
        <v>23.41</v>
      </c>
      <c r="S384" s="349">
        <v>0.50019999999999998</v>
      </c>
      <c r="T384" s="351">
        <v>0.84</v>
      </c>
      <c r="U384" s="348">
        <v>0</v>
      </c>
      <c r="V384" s="410"/>
    </row>
    <row r="385" spans="2:22" s="117" customFormat="1" ht="12.45" customHeight="1" thickTop="1" thickBot="1" x14ac:dyDescent="0.4">
      <c r="B385" s="103">
        <v>9010050019</v>
      </c>
      <c r="C385" s="82" t="s">
        <v>64</v>
      </c>
      <c r="D385" s="82"/>
      <c r="E385" s="52"/>
      <c r="F385" s="52"/>
      <c r="G385" s="106"/>
      <c r="H385" s="106"/>
      <c r="I385" s="106"/>
      <c r="J385" s="106"/>
      <c r="K385" s="106"/>
      <c r="L385" s="106"/>
      <c r="M385" s="106"/>
      <c r="N385" s="106"/>
      <c r="O385" s="122"/>
      <c r="P385" s="102">
        <f>($U$1*Q385)*(100%+T385*(100%+U385))</f>
        <v>0</v>
      </c>
      <c r="Q385" s="347">
        <f>R385*(100%-S385)</f>
        <v>14.224308000000001</v>
      </c>
      <c r="R385" s="320">
        <v>28.46</v>
      </c>
      <c r="S385" s="349">
        <v>0.50019999999999998</v>
      </c>
      <c r="T385" s="351">
        <v>0.68</v>
      </c>
      <c r="U385" s="348">
        <v>0</v>
      </c>
      <c r="V385" s="410"/>
    </row>
    <row r="386" spans="2:22" s="117" customFormat="1" ht="15" customHeight="1" thickTop="1" x14ac:dyDescent="0.35">
      <c r="B386" s="103"/>
      <c r="C386" s="82"/>
      <c r="D386" s="82"/>
      <c r="E386" s="52"/>
      <c r="F386" s="52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R386" s="119"/>
      <c r="S386" s="119"/>
      <c r="T386" s="169"/>
      <c r="U386" s="169"/>
      <c r="V386" s="410"/>
    </row>
    <row r="387" spans="2:22" x14ac:dyDescent="0.35">
      <c r="B387" s="17" t="s">
        <v>106</v>
      </c>
      <c r="T387" s="18"/>
      <c r="U387" s="18"/>
      <c r="V387" s="410"/>
    </row>
    <row r="388" spans="2:22" x14ac:dyDescent="0.35">
      <c r="P388" s="45"/>
      <c r="Q388" s="45"/>
      <c r="T388" s="18"/>
      <c r="U388" s="18"/>
      <c r="V388" s="410"/>
    </row>
    <row r="389" spans="2:22" s="45" customFormat="1" ht="12.45" customHeight="1" thickBot="1" x14ac:dyDescent="0.4">
      <c r="B389" s="26" t="s">
        <v>27</v>
      </c>
      <c r="C389" s="28"/>
      <c r="D389" s="39" t="s">
        <v>86</v>
      </c>
      <c r="E389" s="28"/>
      <c r="F389" s="23"/>
      <c r="G389" s="70"/>
      <c r="H389" s="70"/>
      <c r="I389" s="70"/>
      <c r="J389" s="70"/>
      <c r="K389" s="70"/>
      <c r="L389" s="70"/>
      <c r="M389" s="70"/>
      <c r="N389" s="70"/>
      <c r="O389" s="70"/>
      <c r="P389" s="78" t="s">
        <v>77</v>
      </c>
      <c r="Q389" s="346" t="s">
        <v>90</v>
      </c>
      <c r="R389" s="42" t="s">
        <v>90</v>
      </c>
      <c r="S389" s="42" t="s">
        <v>30</v>
      </c>
      <c r="T389" s="44" t="s">
        <v>39</v>
      </c>
      <c r="U389" s="44" t="s">
        <v>40</v>
      </c>
      <c r="V389" s="410"/>
    </row>
    <row r="390" spans="2:22" s="117" customFormat="1" ht="12.45" customHeight="1" thickTop="1" thickBot="1" x14ac:dyDescent="0.4">
      <c r="B390" s="103">
        <v>9010050020</v>
      </c>
      <c r="C390" s="82"/>
      <c r="D390" s="82">
        <v>80</v>
      </c>
      <c r="E390" s="52"/>
      <c r="F390" s="52"/>
      <c r="G390" s="106"/>
      <c r="H390" s="106"/>
      <c r="I390" s="106"/>
      <c r="J390" s="106"/>
      <c r="K390" s="106"/>
      <c r="L390" s="106"/>
      <c r="M390" s="106"/>
      <c r="N390" s="106"/>
      <c r="O390" s="122"/>
      <c r="P390" s="102">
        <f>($U$1*Q390)*(100%+T390*(100%+U390))</f>
        <v>0</v>
      </c>
      <c r="Q390" s="347">
        <f>R390*(100%-S390)</f>
        <v>3.7634940000000001</v>
      </c>
      <c r="R390" s="320">
        <v>7.53</v>
      </c>
      <c r="S390" s="349">
        <v>0.50019999999999998</v>
      </c>
      <c r="T390" s="351">
        <v>1.58</v>
      </c>
      <c r="U390" s="348">
        <v>0</v>
      </c>
      <c r="V390" s="410"/>
    </row>
    <row r="391" spans="2:22" s="117" customFormat="1" ht="12.45" customHeight="1" thickTop="1" thickBot="1" x14ac:dyDescent="0.4">
      <c r="B391" s="103">
        <v>9010050021</v>
      </c>
      <c r="C391" s="82"/>
      <c r="D391" s="82">
        <v>100</v>
      </c>
      <c r="E391" s="52"/>
      <c r="F391" s="52"/>
      <c r="G391" s="106"/>
      <c r="H391" s="106"/>
      <c r="I391" s="106"/>
      <c r="J391" s="106"/>
      <c r="K391" s="106"/>
      <c r="L391" s="106"/>
      <c r="M391" s="106"/>
      <c r="N391" s="106"/>
      <c r="O391" s="122"/>
      <c r="P391" s="102">
        <f>($U$1*Q391)*(100%+T391*(100%+U391))</f>
        <v>0</v>
      </c>
      <c r="Q391" s="347">
        <f t="shared" ref="Q391:Q392" si="151">R391*(100%-S391)</f>
        <v>3.8234700000000004</v>
      </c>
      <c r="R391" s="320">
        <v>7.65</v>
      </c>
      <c r="S391" s="349">
        <v>0.50019999999999998</v>
      </c>
      <c r="T391" s="351">
        <v>1.6</v>
      </c>
      <c r="U391" s="348">
        <v>0</v>
      </c>
      <c r="V391" s="410"/>
    </row>
    <row r="392" spans="2:22" s="117" customFormat="1" ht="12.45" customHeight="1" thickTop="1" thickBot="1" x14ac:dyDescent="0.4">
      <c r="B392" s="103">
        <v>9010050022</v>
      </c>
      <c r="C392" s="82"/>
      <c r="D392" s="82">
        <v>120</v>
      </c>
      <c r="E392" s="52"/>
      <c r="F392" s="52"/>
      <c r="G392" s="106"/>
      <c r="H392" s="106"/>
      <c r="I392" s="106"/>
      <c r="J392" s="106"/>
      <c r="K392" s="106"/>
      <c r="L392" s="106"/>
      <c r="M392" s="106"/>
      <c r="N392" s="106"/>
      <c r="O392" s="122"/>
      <c r="P392" s="102">
        <f>($U$1*Q392)*(100%+T392*(100%+U392))</f>
        <v>0</v>
      </c>
      <c r="Q392" s="347">
        <f t="shared" si="151"/>
        <v>5.3878440000000003</v>
      </c>
      <c r="R392" s="320">
        <v>10.78</v>
      </c>
      <c r="S392" s="349">
        <v>0.50019999999999998</v>
      </c>
      <c r="T392" s="351">
        <v>0.82</v>
      </c>
      <c r="U392" s="348">
        <v>0</v>
      </c>
      <c r="V392" s="411"/>
    </row>
    <row r="393" spans="2:22" s="117" customFormat="1" ht="12.45" customHeight="1" thickTop="1" x14ac:dyDescent="0.35">
      <c r="B393" s="82"/>
      <c r="C393" s="82"/>
      <c r="D393" s="82"/>
      <c r="E393" s="52"/>
      <c r="F393" s="52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R393" s="119"/>
      <c r="S393" s="94"/>
      <c r="T393" s="45"/>
      <c r="U393" s="95"/>
    </row>
  </sheetData>
  <sheetProtection algorithmName="SHA-512" hashValue="pzndYBMxMcm/wFKVNmDSerFzD9UKzVSikijx9pdxjSBy/4lLZdTbJhMMTSVXIf+bB6k0XUBm4Im+P602D4RDMw==" saltValue="0+jJuhdKnCIdP1qcg2yWaw==" spinCount="100000" sheet="1" objects="1" scenarios="1"/>
  <mergeCells count="2">
    <mergeCell ref="V376:V392"/>
    <mergeCell ref="V219:V247"/>
  </mergeCells>
  <phoneticPr fontId="53" type="noConversion"/>
  <conditionalFormatting sqref="B8:P41">
    <cfRule type="expression" dxfId="285" priority="7">
      <formula>MOD(ROW(),2)=0</formula>
    </cfRule>
  </conditionalFormatting>
  <conditionalFormatting sqref="B56:P89">
    <cfRule type="expression" dxfId="284" priority="47">
      <formula>MOD(ROW(),2)=0</formula>
    </cfRule>
  </conditionalFormatting>
  <conditionalFormatting sqref="B100:P133">
    <cfRule type="expression" dxfId="283" priority="45">
      <formula>MOD(ROW(),2)=0</formula>
    </cfRule>
  </conditionalFormatting>
  <conditionalFormatting sqref="B144:P149 B228:P231">
    <cfRule type="expression" dxfId="282" priority="49">
      <formula>MOD(ROW(),2)=0</formula>
    </cfRule>
  </conditionalFormatting>
  <conditionalFormatting sqref="B156:P158 B186:P187 B236:P239 B270:P273 B318:P320 B338:P341 B376:P379 B384:P385 B390:P393">
    <cfRule type="expression" dxfId="281" priority="74">
      <formula>MOD(ROW(),2)=0</formula>
    </cfRule>
  </conditionalFormatting>
  <conditionalFormatting sqref="B166:P171">
    <cfRule type="expression" dxfId="280" priority="42">
      <formula>MOD(ROW(),2)=0</formula>
    </cfRule>
  </conditionalFormatting>
  <conditionalFormatting sqref="B174:P179">
    <cfRule type="expression" dxfId="279" priority="24">
      <formula>MOD(ROW(),2)=0</formula>
    </cfRule>
  </conditionalFormatting>
  <conditionalFormatting sqref="B190:P191">
    <cfRule type="expression" dxfId="278" priority="1">
      <formula>MOD(ROW(),2)=0</formula>
    </cfRule>
  </conditionalFormatting>
  <conditionalFormatting sqref="B198:P202">
    <cfRule type="expression" dxfId="277" priority="23">
      <formula>MOD(ROW(),2)=0</formula>
    </cfRule>
  </conditionalFormatting>
  <conditionalFormatting sqref="B210:P214">
    <cfRule type="expression" dxfId="276" priority="22">
      <formula>MOD(ROW(),2)=0</formula>
    </cfRule>
  </conditionalFormatting>
  <conditionalFormatting sqref="B220:P223">
    <cfRule type="expression" dxfId="275" priority="20">
      <formula>MOD(ROW(),2)=0</formula>
    </cfRule>
  </conditionalFormatting>
  <conditionalFormatting sqref="B244:P247">
    <cfRule type="expression" dxfId="274" priority="54">
      <formula>MOD(ROW(),2)=0</formula>
    </cfRule>
  </conditionalFormatting>
  <conditionalFormatting sqref="B258:P262">
    <cfRule type="expression" dxfId="273" priority="39">
      <formula>MOD(ROW(),2)=0</formula>
    </cfRule>
  </conditionalFormatting>
  <conditionalFormatting sqref="B280:P282">
    <cfRule type="expression" dxfId="272" priority="15">
      <formula>MOD(ROW(),2)=0</formula>
    </cfRule>
  </conditionalFormatting>
  <conditionalFormatting sqref="B290:P293">
    <cfRule type="expression" dxfId="271" priority="14">
      <formula>MOD(ROW(),2)=0</formula>
    </cfRule>
  </conditionalFormatting>
  <conditionalFormatting sqref="B302:P305 B308:P311">
    <cfRule type="expression" dxfId="270" priority="12">
      <formula>MOD(ROW(),2)=0</formula>
    </cfRule>
  </conditionalFormatting>
  <conditionalFormatting sqref="B328:P333">
    <cfRule type="expression" dxfId="269" priority="10">
      <formula>MOD(ROW(),2)=0</formula>
    </cfRule>
  </conditionalFormatting>
  <conditionalFormatting sqref="B352:P355">
    <cfRule type="expression" dxfId="268" priority="26">
      <formula>MOD(ROW(),2)=0</formula>
    </cfRule>
  </conditionalFormatting>
  <conditionalFormatting sqref="B362:P363">
    <cfRule type="expression" dxfId="267" priority="6">
      <formula>MOD(ROW(),2)=0</formula>
    </cfRule>
  </conditionalFormatting>
  <conditionalFormatting sqref="B370:P371">
    <cfRule type="expression" dxfId="266" priority="33">
      <formula>MOD(ROW(),2)=0</formula>
    </cfRule>
  </conditionalFormatting>
  <conditionalFormatting sqref="C144:C145">
    <cfRule type="expression" dxfId="265" priority="57">
      <formula>MOD(ROW(),2)=0</formula>
    </cfRule>
  </conditionalFormatting>
  <conditionalFormatting sqref="C156">
    <cfRule type="expression" dxfId="264" priority="28">
      <formula>MOD(ROW(),2)=0</formula>
    </cfRule>
  </conditionalFormatting>
  <conditionalFormatting sqref="C146:D149">
    <cfRule type="expression" dxfId="263" priority="59">
      <formula>MOD(ROW(),2)=0</formula>
    </cfRule>
  </conditionalFormatting>
  <pageMargins left="0.23622047244094491" right="0.23622047244094491" top="1.3385826771653544" bottom="0.74803149606299213" header="0.31496062992125984" footer="0.31496062992125984"/>
  <pageSetup paperSize="9" scale="89" orientation="portrait" r:id="rId1"/>
  <headerFooter>
    <oddHeader>&amp;L&amp;G
&amp;R&amp;"Century Gothic,Fett"&amp;16&amp;A</oddHeader>
  </headerFooter>
  <rowBreaks count="7" manualBreakCount="7">
    <brk id="48" max="16383" man="1"/>
    <brk id="92" max="15" man="1"/>
    <brk id="138" max="16383" man="1"/>
    <brk id="192" max="15" man="1"/>
    <brk id="247" max="15" man="1"/>
    <brk id="295" max="15" man="1"/>
    <brk id="345" max="16383" man="1"/>
  </rowBreaks>
  <ignoredErrors>
    <ignoredError sqref="J3:L3 L51:P51 J95:P95 N3:P3" numberStoredAsText="1"/>
  </ignoredError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0" tint="-0.249977111117893"/>
  </sheetPr>
  <dimension ref="B1:U222"/>
  <sheetViews>
    <sheetView showGridLines="0" view="pageBreakPreview" zoomScaleNormal="100" zoomScaleSheetLayoutView="100" workbookViewId="0">
      <selection activeCell="B198" sqref="B198"/>
    </sheetView>
  </sheetViews>
  <sheetFormatPr baseColWidth="10" defaultColWidth="11.25" defaultRowHeight="18" outlineLevelCol="1" x14ac:dyDescent="0.35"/>
  <cols>
    <col min="1" max="1" width="13" style="19" customWidth="1"/>
    <col min="2" max="2" width="8.75" style="17" customWidth="1"/>
    <col min="3" max="3" width="0.75" style="18" customWidth="1"/>
    <col min="4" max="5" width="5.25" style="19" customWidth="1"/>
    <col min="6" max="6" width="11.25" style="19" customWidth="1"/>
    <col min="7" max="9" width="4.75" style="19" customWidth="1"/>
    <col min="10" max="11" width="5.25" style="19" customWidth="1"/>
    <col min="12" max="12" width="4.75" style="124" customWidth="1"/>
    <col min="13" max="13" width="4.75" style="125" hidden="1" customWidth="1" outlineLevel="1"/>
    <col min="14" max="14" width="5.75" style="265" hidden="1" customWidth="1" outlineLevel="1"/>
    <col min="15" max="16" width="6.25" style="126" hidden="1" customWidth="1" outlineLevel="1"/>
    <col min="17" max="17" width="7.5625" style="19" hidden="1" customWidth="1" outlineLevel="1"/>
    <col min="18" max="18" width="6.625" style="19" hidden="1" customWidth="1" outlineLevel="1"/>
    <col min="19" max="19" width="2.25" style="19" hidden="1" customWidth="1" outlineLevel="1"/>
    <col min="20" max="20" width="21" style="19" hidden="1" customWidth="1" outlineLevel="1"/>
    <col min="21" max="21" width="11.25" style="19" collapsed="1"/>
    <col min="22" max="16384" width="11.25" style="19"/>
  </cols>
  <sheetData>
    <row r="1" spans="2:21" ht="21" customHeight="1" x14ac:dyDescent="0.35"/>
    <row r="2" spans="2:21" ht="1.4" customHeight="1" x14ac:dyDescent="0.35"/>
    <row r="3" spans="2:21" ht="18.45" thickBot="1" x14ac:dyDescent="0.4">
      <c r="B3" s="17" t="s">
        <v>614</v>
      </c>
      <c r="L3" s="124" t="s">
        <v>4</v>
      </c>
      <c r="N3" s="262"/>
      <c r="O3" s="127"/>
      <c r="P3" s="127"/>
      <c r="Q3" s="22"/>
      <c r="R3" s="128"/>
      <c r="S3" s="19">
        <f>(1-R5)*(1+R6)</f>
        <v>0</v>
      </c>
      <c r="T3" s="22"/>
      <c r="U3" s="129"/>
    </row>
    <row r="4" spans="2:21" ht="18.45" thickBot="1" x14ac:dyDescent="0.4">
      <c r="Q4" s="266" t="s">
        <v>40</v>
      </c>
      <c r="R4" s="267">
        <v>0</v>
      </c>
    </row>
    <row r="5" spans="2:21" ht="28.75" thickBot="1" x14ac:dyDescent="0.4">
      <c r="B5" s="26" t="s">
        <v>27</v>
      </c>
      <c r="C5" s="45"/>
      <c r="D5" s="39" t="s">
        <v>86</v>
      </c>
      <c r="E5" s="28" t="s">
        <v>87</v>
      </c>
      <c r="F5" s="27"/>
      <c r="G5" s="27"/>
      <c r="H5" s="27"/>
      <c r="I5" s="27"/>
      <c r="J5" s="27"/>
      <c r="K5" s="23"/>
      <c r="L5" s="131" t="s">
        <v>85</v>
      </c>
      <c r="M5" s="132"/>
      <c r="N5" s="139" t="s">
        <v>90</v>
      </c>
      <c r="O5" s="108" t="s">
        <v>39</v>
      </c>
      <c r="P5" s="133" t="s">
        <v>40</v>
      </c>
      <c r="Q5" s="268" t="s">
        <v>30</v>
      </c>
      <c r="R5" s="269">
        <f>Inhaltsverzeichnis!K16</f>
        <v>1</v>
      </c>
    </row>
    <row r="6" spans="2:21" s="26" customFormat="1" ht="12.45" customHeight="1" thickBot="1" x14ac:dyDescent="0.4">
      <c r="B6" s="83">
        <v>9020010003</v>
      </c>
      <c r="D6" s="42" t="s">
        <v>2</v>
      </c>
      <c r="E6" s="42">
        <v>0.5</v>
      </c>
      <c r="F6" s="26" t="s">
        <v>88</v>
      </c>
      <c r="J6" s="93"/>
      <c r="K6" s="93"/>
      <c r="L6" s="134">
        <f>($S$3*M6)*(100%+O6)</f>
        <v>0</v>
      </c>
      <c r="M6" s="132">
        <f>(N6*(100%+P6))</f>
        <v>8.3800000000000008</v>
      </c>
      <c r="N6" s="264">
        <v>8.3800000000000008</v>
      </c>
      <c r="O6" s="126">
        <v>0.79600000000000004</v>
      </c>
      <c r="P6" s="136">
        <v>0</v>
      </c>
      <c r="Q6" s="266" t="s">
        <v>31</v>
      </c>
      <c r="R6" s="270">
        <v>0</v>
      </c>
    </row>
    <row r="7" spans="2:21" s="26" customFormat="1" ht="12.45" customHeight="1" x14ac:dyDescent="0.35">
      <c r="B7" s="83">
        <v>9020010001</v>
      </c>
      <c r="D7" s="42" t="s">
        <v>1</v>
      </c>
      <c r="E7" s="42">
        <v>0.5</v>
      </c>
      <c r="F7" s="26" t="s">
        <v>88</v>
      </c>
      <c r="J7" s="93"/>
      <c r="K7" s="93"/>
      <c r="L7" s="134">
        <f>($S$3*M7)*(100%+O7)</f>
        <v>0</v>
      </c>
      <c r="M7" s="132">
        <f t="shared" ref="M7:M18" si="0">(N7*(100%+P7))</f>
        <v>8.66</v>
      </c>
      <c r="N7" s="263">
        <v>8.66</v>
      </c>
      <c r="O7" s="126">
        <f>82%-30%</f>
        <v>0.52</v>
      </c>
      <c r="P7" s="126">
        <v>0</v>
      </c>
      <c r="Q7" s="213">
        <v>14.9</v>
      </c>
      <c r="R7" s="335">
        <v>13.78</v>
      </c>
    </row>
    <row r="8" spans="2:21" s="26" customFormat="1" ht="12.45" customHeight="1" x14ac:dyDescent="0.35">
      <c r="B8" s="87"/>
      <c r="C8" s="88"/>
      <c r="D8" s="89" t="s">
        <v>36</v>
      </c>
      <c r="E8" s="89">
        <v>0.5</v>
      </c>
      <c r="F8" s="88" t="s">
        <v>88</v>
      </c>
      <c r="G8" s="88"/>
      <c r="H8" s="88"/>
      <c r="I8" s="88"/>
      <c r="J8" s="111"/>
      <c r="K8" s="111"/>
      <c r="L8" s="145">
        <f>($S$3*M8)*(100%+O8)</f>
        <v>0</v>
      </c>
      <c r="M8" s="132">
        <f t="shared" ref="M8" si="1">(N8*(100%+P8))</f>
        <v>8.26</v>
      </c>
      <c r="N8" s="313">
        <v>8.26</v>
      </c>
      <c r="O8" s="126">
        <v>0.82</v>
      </c>
      <c r="P8" s="126">
        <v>0</v>
      </c>
      <c r="Q8" s="213"/>
      <c r="R8" s="335"/>
    </row>
    <row r="9" spans="2:21" s="52" customFormat="1" ht="12.45" customHeight="1" x14ac:dyDescent="0.35">
      <c r="B9" s="103">
        <v>9020010004</v>
      </c>
      <c r="D9" s="139" t="s">
        <v>3</v>
      </c>
      <c r="E9" s="139">
        <v>0.5</v>
      </c>
      <c r="F9" s="52" t="s">
        <v>88</v>
      </c>
      <c r="J9" s="106"/>
      <c r="K9" s="106"/>
      <c r="L9" s="134">
        <f>($S$3*M9)*(100%+O9)</f>
        <v>0</v>
      </c>
      <c r="M9" s="132">
        <f t="shared" si="0"/>
        <v>12.27</v>
      </c>
      <c r="N9" s="263">
        <v>12.27</v>
      </c>
      <c r="O9" s="126">
        <v>0.62080000000000002</v>
      </c>
      <c r="P9" s="126">
        <v>0</v>
      </c>
      <c r="Q9" s="139">
        <v>18.600000000000001</v>
      </c>
      <c r="R9" s="335">
        <v>17.46</v>
      </c>
    </row>
    <row r="10" spans="2:21" s="45" customFormat="1" ht="12.45" customHeight="1" x14ac:dyDescent="0.35">
      <c r="B10" s="87"/>
      <c r="C10" s="88"/>
      <c r="D10" s="89"/>
      <c r="E10" s="89"/>
      <c r="F10" s="88"/>
      <c r="G10" s="88"/>
      <c r="H10" s="88"/>
      <c r="I10" s="88"/>
      <c r="J10" s="111"/>
      <c r="K10" s="111"/>
      <c r="L10" s="131"/>
      <c r="M10" s="132"/>
      <c r="N10" s="263"/>
      <c r="O10" s="126"/>
      <c r="P10" s="126"/>
      <c r="S10" s="26"/>
    </row>
    <row r="11" spans="2:21" s="45" customFormat="1" ht="12.45" customHeight="1" x14ac:dyDescent="0.35">
      <c r="B11" s="83">
        <v>9020010002</v>
      </c>
      <c r="C11" s="26"/>
      <c r="D11" s="42" t="s">
        <v>1</v>
      </c>
      <c r="E11" s="42">
        <v>0.5</v>
      </c>
      <c r="F11" s="26" t="s">
        <v>89</v>
      </c>
      <c r="G11" s="26"/>
      <c r="H11" s="26"/>
      <c r="I11" s="26"/>
      <c r="J11" s="93"/>
      <c r="K11" s="93"/>
      <c r="L11" s="134">
        <f>($S$3*M11)*(100%+O11)</f>
        <v>0</v>
      </c>
      <c r="M11" s="132">
        <f t="shared" si="0"/>
        <v>7.49</v>
      </c>
      <c r="N11" s="263">
        <v>7.49</v>
      </c>
      <c r="O11" s="126">
        <v>0.76</v>
      </c>
      <c r="P11" s="126">
        <v>0</v>
      </c>
      <c r="Q11" s="52"/>
      <c r="R11" s="53"/>
    </row>
    <row r="12" spans="2:21" s="45" customFormat="1" ht="11.6" x14ac:dyDescent="0.35">
      <c r="B12" s="83">
        <v>9020010005</v>
      </c>
      <c r="C12" s="26"/>
      <c r="D12" s="42" t="s">
        <v>3</v>
      </c>
      <c r="E12" s="42">
        <v>0.5</v>
      </c>
      <c r="F12" s="26" t="s">
        <v>89</v>
      </c>
      <c r="G12" s="26"/>
      <c r="H12" s="26"/>
      <c r="I12" s="26"/>
      <c r="J12" s="93"/>
      <c r="K12" s="93"/>
      <c r="L12" s="134">
        <f>($S$3*M12)*(100%+O12)</f>
        <v>0</v>
      </c>
      <c r="M12" s="132">
        <f t="shared" si="0"/>
        <v>8.8000000000000007</v>
      </c>
      <c r="N12" s="264">
        <v>8.8000000000000007</v>
      </c>
      <c r="O12" s="126">
        <v>0.85</v>
      </c>
      <c r="P12" s="126">
        <v>0</v>
      </c>
    </row>
    <row r="13" spans="2:21" s="45" customFormat="1" ht="11.6" x14ac:dyDescent="0.35">
      <c r="B13" s="83"/>
      <c r="C13" s="26"/>
      <c r="D13" s="42"/>
      <c r="E13" s="42"/>
      <c r="F13" s="26"/>
      <c r="G13" s="26"/>
      <c r="H13" s="26"/>
      <c r="I13" s="26"/>
      <c r="J13" s="93"/>
      <c r="K13" s="93"/>
      <c r="L13" s="131"/>
      <c r="M13" s="132"/>
      <c r="N13" s="264"/>
      <c r="O13" s="126"/>
      <c r="P13" s="126"/>
    </row>
    <row r="14" spans="2:21" ht="11.6" customHeight="1" x14ac:dyDescent="0.35">
      <c r="M14" s="132"/>
    </row>
    <row r="15" spans="2:21" x14ac:dyDescent="0.35">
      <c r="B15" s="17" t="s">
        <v>615</v>
      </c>
      <c r="L15" s="124" t="s">
        <v>4</v>
      </c>
      <c r="M15" s="132"/>
    </row>
    <row r="16" spans="2:21" x14ac:dyDescent="0.35">
      <c r="J16" s="20"/>
      <c r="M16" s="132"/>
    </row>
    <row r="17" spans="2:16" ht="23.15" x14ac:dyDescent="0.35">
      <c r="B17" s="26" t="s">
        <v>27</v>
      </c>
      <c r="C17" s="45"/>
      <c r="D17" s="39" t="s">
        <v>86</v>
      </c>
      <c r="E17" s="28" t="s">
        <v>87</v>
      </c>
      <c r="F17" s="27"/>
      <c r="G17" s="27"/>
      <c r="H17" s="27"/>
      <c r="I17" s="27"/>
      <c r="J17" s="27"/>
      <c r="K17" s="23"/>
      <c r="L17" s="131" t="s">
        <v>85</v>
      </c>
      <c r="M17" s="132"/>
      <c r="N17" s="139" t="s">
        <v>90</v>
      </c>
      <c r="O17" s="108" t="s">
        <v>39</v>
      </c>
      <c r="P17" s="133" t="s">
        <v>40</v>
      </c>
    </row>
    <row r="18" spans="2:16" ht="12.45" customHeight="1" x14ac:dyDescent="0.35">
      <c r="B18" s="83">
        <v>9020010007</v>
      </c>
      <c r="C18" s="26"/>
      <c r="D18" s="42" t="s">
        <v>2</v>
      </c>
      <c r="E18" s="42">
        <v>0.5</v>
      </c>
      <c r="F18" s="26" t="s">
        <v>88</v>
      </c>
      <c r="G18" s="26"/>
      <c r="H18" s="26"/>
      <c r="I18" s="26"/>
      <c r="J18" s="93"/>
      <c r="K18" s="93"/>
      <c r="L18" s="134">
        <f>($S$3*M18)*(100%+O18)</f>
        <v>0</v>
      </c>
      <c r="M18" s="132">
        <f t="shared" si="0"/>
        <v>8.7799999999999994</v>
      </c>
      <c r="N18" s="264">
        <v>8.7799999999999994</v>
      </c>
      <c r="O18" s="126">
        <v>0.7</v>
      </c>
      <c r="P18" s="126">
        <v>0</v>
      </c>
    </row>
    <row r="19" spans="2:16" ht="12.45" customHeight="1" x14ac:dyDescent="0.35">
      <c r="B19" s="83">
        <v>9020010006</v>
      </c>
      <c r="C19" s="26"/>
      <c r="D19" s="42" t="s">
        <v>1</v>
      </c>
      <c r="E19" s="42">
        <v>0.5</v>
      </c>
      <c r="F19" s="26" t="s">
        <v>88</v>
      </c>
      <c r="G19" s="26"/>
      <c r="H19" s="26"/>
      <c r="I19" s="26"/>
      <c r="J19" s="93"/>
      <c r="K19" s="93"/>
      <c r="L19" s="134">
        <f>($S$3*M19)*(100%+O19)</f>
        <v>0</v>
      </c>
      <c r="M19" s="132">
        <f>(N19*(100%+P19))</f>
        <v>9.81</v>
      </c>
      <c r="N19" s="263">
        <v>9.81</v>
      </c>
      <c r="O19" s="126">
        <v>0.7</v>
      </c>
      <c r="P19" s="126">
        <v>0</v>
      </c>
    </row>
    <row r="20" spans="2:16" ht="12.45" customHeight="1" x14ac:dyDescent="0.35">
      <c r="B20" s="103">
        <v>9020010008</v>
      </c>
      <c r="C20" s="88"/>
      <c r="D20" s="139" t="s">
        <v>3</v>
      </c>
      <c r="E20" s="139">
        <v>0.5</v>
      </c>
      <c r="F20" s="52" t="s">
        <v>88</v>
      </c>
      <c r="G20" s="52"/>
      <c r="H20" s="52"/>
      <c r="I20" s="52"/>
      <c r="J20" s="106"/>
      <c r="K20" s="106"/>
      <c r="L20" s="141">
        <f>($S$3*M20)*(100%+O20)</f>
        <v>0</v>
      </c>
      <c r="M20" s="132">
        <f>(N20*(100%+P20))</f>
        <v>12.67</v>
      </c>
      <c r="N20" s="358">
        <v>12.67</v>
      </c>
      <c r="O20" s="126">
        <v>0.91</v>
      </c>
      <c r="P20" s="126">
        <v>0</v>
      </c>
    </row>
    <row r="21" spans="2:16" x14ac:dyDescent="0.35">
      <c r="B21" s="66"/>
      <c r="C21" s="42"/>
      <c r="D21" s="66"/>
      <c r="M21" s="132"/>
    </row>
    <row r="22" spans="2:16" x14ac:dyDescent="0.35">
      <c r="B22" s="66"/>
      <c r="C22" s="42"/>
      <c r="D22" s="66"/>
      <c r="M22" s="132"/>
    </row>
    <row r="23" spans="2:16" x14ac:dyDescent="0.35">
      <c r="B23" s="17" t="s">
        <v>616</v>
      </c>
      <c r="L23" s="124" t="s">
        <v>8</v>
      </c>
      <c r="M23" s="132"/>
    </row>
    <row r="24" spans="2:16" x14ac:dyDescent="0.35">
      <c r="M24" s="132"/>
    </row>
    <row r="25" spans="2:16" ht="23.15" x14ac:dyDescent="0.35">
      <c r="B25" s="26" t="s">
        <v>27</v>
      </c>
      <c r="C25" s="45"/>
      <c r="D25" s="39" t="s">
        <v>86</v>
      </c>
      <c r="E25" s="28" t="s">
        <v>87</v>
      </c>
      <c r="F25" s="27"/>
      <c r="G25" s="27"/>
      <c r="H25" s="27"/>
      <c r="I25" s="27"/>
      <c r="J25" s="27"/>
      <c r="K25" s="23"/>
      <c r="L25" s="131" t="s">
        <v>85</v>
      </c>
      <c r="M25" s="132"/>
      <c r="N25" s="139" t="s">
        <v>90</v>
      </c>
      <c r="O25" s="108" t="s">
        <v>39</v>
      </c>
      <c r="P25" s="133" t="s">
        <v>40</v>
      </c>
    </row>
    <row r="26" spans="2:16" s="117" customFormat="1" ht="12.45" customHeight="1" x14ac:dyDescent="0.35">
      <c r="B26" s="103">
        <v>9020050001</v>
      </c>
      <c r="C26" s="52"/>
      <c r="D26" s="139">
        <v>60</v>
      </c>
      <c r="E26" s="139">
        <v>0.5</v>
      </c>
      <c r="F26" s="52"/>
      <c r="G26" s="52"/>
      <c r="H26" s="52"/>
      <c r="I26" s="52"/>
      <c r="J26" s="106"/>
      <c r="K26" s="106"/>
      <c r="L26" s="141">
        <f>($S$3*M26)*(100%+O26)</f>
        <v>0</v>
      </c>
      <c r="M26" s="143">
        <f>(N26*(100%+P26))</f>
        <v>9.84</v>
      </c>
      <c r="N26" s="264">
        <v>9.84</v>
      </c>
      <c r="O26" s="126">
        <v>0.8</v>
      </c>
      <c r="P26" s="126">
        <v>0</v>
      </c>
    </row>
    <row r="27" spans="2:16" ht="12.45" customHeight="1" x14ac:dyDescent="0.35">
      <c r="B27" s="83">
        <v>9020050002</v>
      </c>
      <c r="C27" s="26"/>
      <c r="D27" s="42">
        <v>80</v>
      </c>
      <c r="E27" s="42">
        <v>0.5</v>
      </c>
      <c r="F27" s="26"/>
      <c r="G27" s="26"/>
      <c r="H27" s="26"/>
      <c r="I27" s="26"/>
      <c r="J27" s="93"/>
      <c r="K27" s="93"/>
      <c r="L27" s="134">
        <f>($S$3*M27)*(100%+O27)</f>
        <v>0</v>
      </c>
      <c r="M27" s="132">
        <f>(N27*(100%+P27))</f>
        <v>9.0399999999999991</v>
      </c>
      <c r="N27" s="263">
        <v>9.0399999999999991</v>
      </c>
      <c r="O27" s="126">
        <v>0.8</v>
      </c>
      <c r="P27" s="126">
        <v>0</v>
      </c>
    </row>
    <row r="28" spans="2:16" ht="12.45" customHeight="1" x14ac:dyDescent="0.35">
      <c r="B28" s="103">
        <v>9020050003</v>
      </c>
      <c r="C28" s="52"/>
      <c r="D28" s="139">
        <v>100</v>
      </c>
      <c r="E28" s="139">
        <v>0.5</v>
      </c>
      <c r="F28" s="52"/>
      <c r="G28" s="52"/>
      <c r="H28" s="52"/>
      <c r="I28" s="52"/>
      <c r="J28" s="106"/>
      <c r="K28" s="106"/>
      <c r="L28" s="134">
        <f>($S$3*M28)*(100%+O28)</f>
        <v>0</v>
      </c>
      <c r="M28" s="132">
        <f>(N28*(100%+P28))</f>
        <v>9.7200000000000006</v>
      </c>
      <c r="N28" s="263">
        <v>9.7200000000000006</v>
      </c>
      <c r="O28" s="126">
        <v>0.75</v>
      </c>
      <c r="P28" s="126">
        <v>0</v>
      </c>
    </row>
    <row r="29" spans="2:16" ht="12.45" customHeight="1" x14ac:dyDescent="0.35">
      <c r="B29" s="103">
        <v>9020050004</v>
      </c>
      <c r="C29" s="52"/>
      <c r="D29" s="139">
        <v>120</v>
      </c>
      <c r="E29" s="139">
        <v>0.5</v>
      </c>
      <c r="F29" s="52"/>
      <c r="G29" s="52"/>
      <c r="H29" s="52"/>
      <c r="I29" s="52"/>
      <c r="J29" s="106"/>
      <c r="K29" s="106"/>
      <c r="L29" s="134">
        <f>($S$3*M29)*(100%+O29)</f>
        <v>0</v>
      </c>
      <c r="M29" s="132">
        <f>(N29*(100%+P29))</f>
        <v>13.51</v>
      </c>
      <c r="N29" s="263">
        <v>13.51</v>
      </c>
      <c r="O29" s="126">
        <v>0.65</v>
      </c>
      <c r="P29" s="126">
        <v>0</v>
      </c>
    </row>
    <row r="30" spans="2:16" ht="12.45" customHeight="1" x14ac:dyDescent="0.35">
      <c r="M30" s="132"/>
    </row>
    <row r="31" spans="2:16" x14ac:dyDescent="0.35">
      <c r="B31" s="17" t="s">
        <v>96</v>
      </c>
      <c r="M31" s="132"/>
    </row>
    <row r="32" spans="2:16" x14ac:dyDescent="0.35">
      <c r="L32" s="144"/>
      <c r="M32" s="132"/>
    </row>
    <row r="33" spans="2:19" x14ac:dyDescent="0.35">
      <c r="B33" s="26" t="s">
        <v>27</v>
      </c>
      <c r="C33" s="45"/>
      <c r="D33" s="39" t="s">
        <v>86</v>
      </c>
      <c r="E33" s="28"/>
      <c r="F33" s="27"/>
      <c r="G33" s="27"/>
      <c r="H33" s="27"/>
      <c r="I33" s="27"/>
      <c r="J33" s="27"/>
      <c r="K33" s="23"/>
      <c r="L33" s="131" t="s">
        <v>77</v>
      </c>
      <c r="M33" s="132"/>
      <c r="N33" s="139" t="s">
        <v>90</v>
      </c>
      <c r="O33" s="108" t="s">
        <v>39</v>
      </c>
      <c r="P33" s="133" t="s">
        <v>40</v>
      </c>
    </row>
    <row r="34" spans="2:19" s="117" customFormat="1" ht="12.45" customHeight="1" x14ac:dyDescent="0.35">
      <c r="B34" s="103">
        <v>9020020024</v>
      </c>
      <c r="C34" s="52" t="s">
        <v>79</v>
      </c>
      <c r="D34" s="139"/>
      <c r="E34" s="52" t="s">
        <v>80</v>
      </c>
      <c r="F34" s="52"/>
      <c r="G34" s="52"/>
      <c r="H34" s="52"/>
      <c r="I34" s="52"/>
      <c r="J34" s="106"/>
      <c r="K34" s="106"/>
      <c r="L34" s="141">
        <f>($S$3*M34)*(100%+O34)</f>
        <v>0</v>
      </c>
      <c r="M34" s="132">
        <f>(N34*(100%+P34))</f>
        <v>3.98</v>
      </c>
      <c r="N34" s="318">
        <v>3.98</v>
      </c>
      <c r="O34" s="126">
        <f>145%-30%</f>
        <v>1.1499999999999999</v>
      </c>
      <c r="P34" s="126">
        <v>0</v>
      </c>
    </row>
    <row r="35" spans="2:19" ht="12.45" customHeight="1" x14ac:dyDescent="0.35">
      <c r="B35" s="87"/>
      <c r="C35" s="88" t="s">
        <v>38</v>
      </c>
      <c r="D35" s="89"/>
      <c r="E35" s="88" t="s">
        <v>80</v>
      </c>
      <c r="F35" s="88"/>
      <c r="G35" s="88"/>
      <c r="H35" s="88"/>
      <c r="I35" s="88"/>
      <c r="J35" s="111"/>
      <c r="K35" s="111"/>
      <c r="L35" s="145">
        <f>($S$3*M35)*(100%+O35)</f>
        <v>0</v>
      </c>
      <c r="M35" s="132">
        <f>(N35*(100%+P35))</f>
        <v>3.77</v>
      </c>
      <c r="N35" s="313">
        <v>3.77</v>
      </c>
      <c r="O35" s="126">
        <f>145%-30%</f>
        <v>1.1499999999999999</v>
      </c>
      <c r="P35" s="126">
        <v>0</v>
      </c>
    </row>
    <row r="36" spans="2:19" s="146" customFormat="1" ht="12.45" customHeight="1" x14ac:dyDescent="0.35">
      <c r="B36" s="103">
        <v>9020020023</v>
      </c>
      <c r="C36" s="52" t="s">
        <v>19</v>
      </c>
      <c r="D36" s="139"/>
      <c r="E36" s="52" t="s">
        <v>80</v>
      </c>
      <c r="F36" s="52"/>
      <c r="G36" s="52"/>
      <c r="H36" s="52"/>
      <c r="I36" s="52"/>
      <c r="J36" s="106"/>
      <c r="K36" s="106"/>
      <c r="L36" s="141">
        <f>($S$3*M36)*(100%+O36)</f>
        <v>0</v>
      </c>
      <c r="M36" s="132">
        <f>(N36*(100%+P36))</f>
        <v>3.92</v>
      </c>
      <c r="N36" s="313">
        <v>3.92</v>
      </c>
      <c r="O36" s="126">
        <f>145%-50%</f>
        <v>0.95</v>
      </c>
      <c r="P36" s="126">
        <v>0</v>
      </c>
    </row>
    <row r="37" spans="2:19" s="117" customFormat="1" ht="12.45" customHeight="1" x14ac:dyDescent="0.35">
      <c r="B37" s="103">
        <v>9020020022</v>
      </c>
      <c r="C37" s="52" t="s">
        <v>20</v>
      </c>
      <c r="D37" s="139"/>
      <c r="E37" s="52" t="s">
        <v>81</v>
      </c>
      <c r="F37" s="52"/>
      <c r="G37" s="52"/>
      <c r="H37" s="52"/>
      <c r="I37" s="52"/>
      <c r="J37" s="106"/>
      <c r="K37" s="122"/>
      <c r="L37" s="141">
        <f>($S$3*M37)*(100%+O37)</f>
        <v>0</v>
      </c>
      <c r="M37" s="132">
        <f>(N37*(100%+P37))</f>
        <v>3.89</v>
      </c>
      <c r="N37" s="318">
        <v>3.89</v>
      </c>
      <c r="O37" s="126">
        <f>145%-50%</f>
        <v>0.95</v>
      </c>
      <c r="P37" s="126">
        <v>0</v>
      </c>
    </row>
    <row r="38" spans="2:19" s="117" customFormat="1" ht="12.45" customHeight="1" x14ac:dyDescent="0.35">
      <c r="B38" s="103">
        <v>9020020025</v>
      </c>
      <c r="C38" s="52" t="s">
        <v>82</v>
      </c>
      <c r="D38" s="139"/>
      <c r="E38" s="52" t="s">
        <v>80</v>
      </c>
      <c r="F38" s="52"/>
      <c r="G38" s="52"/>
      <c r="H38" s="52"/>
      <c r="I38" s="52"/>
      <c r="J38" s="106"/>
      <c r="K38" s="122"/>
      <c r="L38" s="141">
        <f>($S$3*M38)*(100%+O38)</f>
        <v>0</v>
      </c>
      <c r="M38" s="143">
        <f>(N38*(100%+P38))</f>
        <v>5.83</v>
      </c>
      <c r="N38" s="313">
        <v>5.83</v>
      </c>
      <c r="O38" s="126">
        <f>145%-30%</f>
        <v>1.1499999999999999</v>
      </c>
      <c r="P38" s="126">
        <v>0</v>
      </c>
    </row>
    <row r="39" spans="2:19" x14ac:dyDescent="0.35">
      <c r="M39" s="132"/>
    </row>
    <row r="40" spans="2:19" x14ac:dyDescent="0.35">
      <c r="M40" s="132"/>
    </row>
    <row r="41" spans="2:19" s="117" customFormat="1" ht="12.45" hidden="1" customHeight="1" x14ac:dyDescent="0.35">
      <c r="B41" s="82"/>
      <c r="C41" s="52"/>
      <c r="D41" s="139"/>
      <c r="E41" s="52"/>
      <c r="F41" s="52"/>
      <c r="G41" s="52"/>
      <c r="H41" s="52"/>
      <c r="I41" s="52"/>
      <c r="J41" s="106"/>
      <c r="K41" s="106"/>
      <c r="L41" s="147"/>
      <c r="M41" s="143"/>
      <c r="N41" s="263"/>
      <c r="O41" s="126"/>
      <c r="P41" s="126"/>
    </row>
    <row r="42" spans="2:19" s="117" customFormat="1" ht="12.45" customHeight="1" x14ac:dyDescent="0.35">
      <c r="B42" s="82"/>
      <c r="C42" s="52"/>
      <c r="D42" s="139"/>
      <c r="E42" s="52"/>
      <c r="F42" s="52"/>
      <c r="G42" s="52"/>
      <c r="H42" s="52"/>
      <c r="I42" s="52"/>
      <c r="J42" s="106"/>
      <c r="K42" s="106"/>
      <c r="L42" s="147"/>
      <c r="M42" s="143"/>
      <c r="N42" s="263"/>
      <c r="O42" s="126"/>
      <c r="P42" s="126"/>
    </row>
    <row r="43" spans="2:19" x14ac:dyDescent="0.35">
      <c r="B43" s="17" t="s">
        <v>617</v>
      </c>
      <c r="M43" s="132"/>
    </row>
    <row r="44" spans="2:19" x14ac:dyDescent="0.35">
      <c r="L44" s="144"/>
      <c r="M44" s="132"/>
    </row>
    <row r="45" spans="2:19" x14ac:dyDescent="0.35">
      <c r="B45" s="26" t="s">
        <v>27</v>
      </c>
      <c r="C45" s="45"/>
      <c r="D45" s="39" t="s">
        <v>86</v>
      </c>
      <c r="E45" s="28"/>
      <c r="F45" s="27"/>
      <c r="G45" s="27"/>
      <c r="H45" s="27"/>
      <c r="I45" s="27"/>
      <c r="J45" s="27"/>
      <c r="K45" s="23"/>
      <c r="L45" s="131" t="s">
        <v>77</v>
      </c>
      <c r="M45" s="132"/>
      <c r="N45" s="139" t="s">
        <v>90</v>
      </c>
      <c r="O45" s="108" t="s">
        <v>39</v>
      </c>
      <c r="P45" s="133" t="s">
        <v>40</v>
      </c>
    </row>
    <row r="46" spans="2:19" s="45" customFormat="1" ht="12.45" customHeight="1" x14ac:dyDescent="0.35">
      <c r="B46" s="83">
        <v>9020020027</v>
      </c>
      <c r="C46" s="26" t="s">
        <v>18</v>
      </c>
      <c r="D46" s="42"/>
      <c r="E46" s="26" t="s">
        <v>80</v>
      </c>
      <c r="F46" s="26"/>
      <c r="G46" s="26"/>
      <c r="H46" s="26"/>
      <c r="I46" s="26"/>
      <c r="J46" s="93"/>
      <c r="K46" s="109"/>
      <c r="L46" s="134">
        <f>($S$3*M46)*(100%+O46)</f>
        <v>0</v>
      </c>
      <c r="M46" s="132">
        <f>(N46*(100%+P46))</f>
        <v>5.0190000000000001</v>
      </c>
      <c r="N46" s="318">
        <v>4.78</v>
      </c>
      <c r="O46" s="126">
        <v>0.9</v>
      </c>
      <c r="P46" s="126">
        <v>0.05</v>
      </c>
      <c r="Q46" s="52"/>
      <c r="R46" s="53"/>
      <c r="S46" s="19"/>
    </row>
    <row r="47" spans="2:19" s="45" customFormat="1" ht="12.45" customHeight="1" x14ac:dyDescent="0.35">
      <c r="B47" s="83">
        <v>9020020026</v>
      </c>
      <c r="C47" s="26" t="s">
        <v>19</v>
      </c>
      <c r="D47" s="42"/>
      <c r="E47" s="26" t="s">
        <v>80</v>
      </c>
      <c r="F47" s="26"/>
      <c r="G47" s="26"/>
      <c r="H47" s="26"/>
      <c r="I47" s="26"/>
      <c r="J47" s="93"/>
      <c r="K47" s="109"/>
      <c r="L47" s="134">
        <f>($S$3*M47)*(100%+O47)</f>
        <v>0</v>
      </c>
      <c r="M47" s="132">
        <f>(N47*(100%+P47))</f>
        <v>5.1135000000000002</v>
      </c>
      <c r="N47" s="318">
        <v>4.87</v>
      </c>
      <c r="O47" s="126">
        <v>0.9</v>
      </c>
      <c r="P47" s="126">
        <v>0.05</v>
      </c>
    </row>
    <row r="48" spans="2:19" s="92" customFormat="1" ht="12.45" customHeight="1" x14ac:dyDescent="0.35">
      <c r="B48" s="83">
        <v>9020020028</v>
      </c>
      <c r="C48" s="26" t="s">
        <v>82</v>
      </c>
      <c r="D48" s="42"/>
      <c r="E48" s="26" t="s">
        <v>80</v>
      </c>
      <c r="F48" s="26"/>
      <c r="G48" s="26"/>
      <c r="H48" s="26"/>
      <c r="I48" s="26"/>
      <c r="J48" s="93"/>
      <c r="K48" s="109"/>
      <c r="L48" s="134">
        <f>($S$3*M48)*(100%+O48)</f>
        <v>0</v>
      </c>
      <c r="M48" s="132">
        <f>(N48*(100%+P48))</f>
        <v>6.9615</v>
      </c>
      <c r="N48" s="318">
        <v>6.63</v>
      </c>
      <c r="O48" s="126">
        <v>0.9</v>
      </c>
      <c r="P48" s="126">
        <v>0.05</v>
      </c>
    </row>
    <row r="49" spans="2:19" s="45" customFormat="1" ht="10.199999999999999" customHeight="1" x14ac:dyDescent="0.35">
      <c r="B49" s="26"/>
      <c r="C49" s="42"/>
      <c r="D49" s="26"/>
      <c r="E49" s="26"/>
      <c r="F49" s="26"/>
      <c r="G49" s="26"/>
      <c r="H49" s="26"/>
      <c r="I49" s="26"/>
      <c r="J49" s="26"/>
      <c r="L49" s="124"/>
      <c r="M49" s="132"/>
      <c r="N49" s="263"/>
      <c r="O49" s="126"/>
      <c r="P49" s="126"/>
    </row>
    <row r="50" spans="2:19" s="45" customFormat="1" ht="10.199999999999999" customHeight="1" x14ac:dyDescent="0.35">
      <c r="B50" s="26"/>
      <c r="C50" s="42"/>
      <c r="D50" s="26"/>
      <c r="E50" s="26"/>
      <c r="F50" s="26"/>
      <c r="G50" s="26"/>
      <c r="H50" s="26"/>
      <c r="I50" s="26"/>
      <c r="J50" s="26"/>
      <c r="L50" s="124"/>
      <c r="M50" s="132"/>
      <c r="N50" s="263"/>
      <c r="O50" s="126"/>
      <c r="P50" s="126"/>
    </row>
    <row r="51" spans="2:19" s="45" customFormat="1" x14ac:dyDescent="0.35">
      <c r="B51" s="17" t="s">
        <v>618</v>
      </c>
      <c r="C51" s="18"/>
      <c r="D51" s="19"/>
      <c r="E51" s="19"/>
      <c r="F51" s="19"/>
      <c r="G51" s="19"/>
      <c r="H51" s="19"/>
      <c r="I51" s="19"/>
      <c r="J51" s="20"/>
      <c r="K51" s="19"/>
      <c r="L51" s="124"/>
      <c r="M51" s="132"/>
      <c r="N51" s="263"/>
      <c r="O51" s="126"/>
      <c r="P51" s="126"/>
    </row>
    <row r="52" spans="2:19" s="92" customFormat="1" x14ac:dyDescent="0.35">
      <c r="B52" s="17"/>
      <c r="C52" s="18"/>
      <c r="D52" s="19"/>
      <c r="E52" s="19"/>
      <c r="F52" s="19"/>
      <c r="G52" s="19"/>
      <c r="H52" s="19"/>
      <c r="I52" s="19"/>
      <c r="J52" s="19"/>
      <c r="K52" s="19"/>
      <c r="L52" s="144"/>
      <c r="M52" s="132"/>
      <c r="N52" s="263"/>
      <c r="O52" s="126"/>
      <c r="P52" s="126"/>
    </row>
    <row r="53" spans="2:19" s="45" customFormat="1" ht="11.6" x14ac:dyDescent="0.35">
      <c r="B53" s="26" t="s">
        <v>27</v>
      </c>
      <c r="D53" s="26" t="s">
        <v>86</v>
      </c>
      <c r="E53" s="27"/>
      <c r="F53" s="23"/>
      <c r="G53" s="39"/>
      <c r="H53" s="74"/>
      <c r="I53" s="74"/>
      <c r="J53" s="74"/>
      <c r="K53" s="74"/>
      <c r="L53" s="131" t="s">
        <v>77</v>
      </c>
      <c r="M53" s="132"/>
      <c r="N53" s="139" t="s">
        <v>90</v>
      </c>
      <c r="O53" s="108" t="s">
        <v>39</v>
      </c>
      <c r="P53" s="133" t="s">
        <v>40</v>
      </c>
      <c r="Q53" s="133" t="s">
        <v>422</v>
      </c>
      <c r="R53" s="133" t="s">
        <v>30</v>
      </c>
    </row>
    <row r="54" spans="2:19" s="45" customFormat="1" ht="12.65" customHeight="1" x14ac:dyDescent="0.35">
      <c r="B54" s="83">
        <v>9020020005</v>
      </c>
      <c r="C54" s="39" t="s">
        <v>619</v>
      </c>
      <c r="D54" s="39"/>
      <c r="E54" s="26"/>
      <c r="F54" s="26"/>
      <c r="G54" s="26"/>
      <c r="H54" s="26"/>
      <c r="I54" s="26"/>
      <c r="J54" s="26"/>
      <c r="K54" s="59"/>
      <c r="L54" s="141">
        <f>($S$3*M54)*(100%+O54)</f>
        <v>0</v>
      </c>
      <c r="M54" s="132">
        <f>(N54*(100%+P54))</f>
        <v>19.335000000000001</v>
      </c>
      <c r="N54" s="105">
        <f>(Q54*(100%-R54))</f>
        <v>19.335000000000001</v>
      </c>
      <c r="O54" s="107">
        <v>1.1000000000000001</v>
      </c>
      <c r="P54" s="331">
        <v>0</v>
      </c>
      <c r="Q54" s="365">
        <v>38.67</v>
      </c>
      <c r="R54" s="370">
        <v>0.5</v>
      </c>
      <c r="S54" s="19"/>
    </row>
    <row r="55" spans="2:19" s="45" customFormat="1" ht="12.65" customHeight="1" x14ac:dyDescent="0.35">
      <c r="B55" s="87"/>
      <c r="C55" s="100" t="s">
        <v>620</v>
      </c>
      <c r="D55" s="100"/>
      <c r="E55" s="88"/>
      <c r="F55" s="88"/>
      <c r="G55" s="88"/>
      <c r="H55" s="88"/>
      <c r="I55" s="88"/>
      <c r="J55" s="88"/>
      <c r="K55" s="90"/>
      <c r="L55" s="145">
        <f t="shared" ref="L55:L63" si="2">($S$3*M55)*(100%+O55)</f>
        <v>0</v>
      </c>
      <c r="M55" s="132">
        <f t="shared" ref="M55:M63" si="3">(N55*(100%+P55))</f>
        <v>23.184840000000001</v>
      </c>
      <c r="N55" s="105">
        <f t="shared" ref="N55:N62" si="4">(Q55*(100%-R55))</f>
        <v>23.184840000000001</v>
      </c>
      <c r="O55" s="107">
        <v>1.1000000000000001</v>
      </c>
      <c r="P55" s="331">
        <v>0</v>
      </c>
      <c r="Q55" s="365">
        <v>39.43</v>
      </c>
      <c r="R55" s="370">
        <v>0.41199999999999998</v>
      </c>
    </row>
    <row r="56" spans="2:19" s="45" customFormat="1" ht="12.65" customHeight="1" x14ac:dyDescent="0.35">
      <c r="B56" s="83">
        <v>9020020004</v>
      </c>
      <c r="C56" s="39" t="s">
        <v>621</v>
      </c>
      <c r="D56" s="39"/>
      <c r="E56" s="26"/>
      <c r="F56" s="26"/>
      <c r="G56" s="26"/>
      <c r="H56" s="26"/>
      <c r="I56" s="26"/>
      <c r="J56" s="26"/>
      <c r="K56" s="59"/>
      <c r="L56" s="141">
        <f t="shared" si="2"/>
        <v>0</v>
      </c>
      <c r="M56" s="132">
        <f t="shared" si="3"/>
        <v>20.12</v>
      </c>
      <c r="N56" s="105">
        <f t="shared" si="4"/>
        <v>20.12</v>
      </c>
      <c r="O56" s="107">
        <v>0.65</v>
      </c>
      <c r="P56" s="331">
        <v>0</v>
      </c>
      <c r="Q56" s="365">
        <v>40.24</v>
      </c>
      <c r="R56" s="371">
        <v>0.5</v>
      </c>
    </row>
    <row r="57" spans="2:19" s="45" customFormat="1" ht="12.65" customHeight="1" x14ac:dyDescent="0.35">
      <c r="B57" s="83">
        <v>9020020006</v>
      </c>
      <c r="C57" s="39" t="s">
        <v>622</v>
      </c>
      <c r="D57" s="39"/>
      <c r="E57" s="26"/>
      <c r="F57" s="26"/>
      <c r="G57" s="26"/>
      <c r="H57" s="26"/>
      <c r="I57" s="26"/>
      <c r="J57" s="26"/>
      <c r="K57" s="59"/>
      <c r="L57" s="141">
        <f t="shared" si="2"/>
        <v>0</v>
      </c>
      <c r="M57" s="132">
        <f t="shared" si="3"/>
        <v>30.62</v>
      </c>
      <c r="N57" s="105">
        <f t="shared" si="4"/>
        <v>30.62</v>
      </c>
      <c r="O57" s="107">
        <v>1</v>
      </c>
      <c r="P57" s="331">
        <v>0</v>
      </c>
      <c r="Q57" s="365">
        <v>61.24</v>
      </c>
      <c r="R57" s="371">
        <v>0.5</v>
      </c>
    </row>
    <row r="58" spans="2:19" s="45" customFormat="1" ht="12.65" customHeight="1" x14ac:dyDescent="0.35">
      <c r="B58" s="83"/>
      <c r="C58" s="39"/>
      <c r="D58" s="39"/>
      <c r="E58" s="26"/>
      <c r="F58" s="26"/>
      <c r="G58" s="26"/>
      <c r="H58" s="26"/>
      <c r="I58" s="26"/>
      <c r="J58" s="26"/>
      <c r="K58" s="26"/>
      <c r="L58" s="147"/>
      <c r="M58" s="132"/>
      <c r="N58" s="105"/>
      <c r="O58" s="107"/>
      <c r="P58" s="331"/>
      <c r="Q58" s="365"/>
      <c r="R58" s="371"/>
    </row>
    <row r="59" spans="2:19" s="45" customFormat="1" ht="2.9" customHeight="1" x14ac:dyDescent="0.35">
      <c r="B59" s="83"/>
      <c r="C59" s="39"/>
      <c r="D59" s="39"/>
      <c r="E59" s="26"/>
      <c r="F59" s="26"/>
      <c r="G59" s="26"/>
      <c r="H59" s="26"/>
      <c r="I59" s="26"/>
      <c r="J59" s="26"/>
      <c r="K59" s="26"/>
      <c r="L59" s="147"/>
      <c r="M59" s="132"/>
      <c r="N59" s="105"/>
      <c r="O59" s="107"/>
      <c r="P59" s="331"/>
      <c r="Q59" s="365"/>
      <c r="R59" s="370"/>
    </row>
    <row r="60" spans="2:19" s="92" customFormat="1" ht="12.65" customHeight="1" x14ac:dyDescent="0.35">
      <c r="B60" s="83">
        <v>9020020002</v>
      </c>
      <c r="C60" s="39" t="s">
        <v>623</v>
      </c>
      <c r="D60" s="39"/>
      <c r="E60" s="26"/>
      <c r="F60" s="26"/>
      <c r="G60" s="26"/>
      <c r="H60" s="26"/>
      <c r="I60" s="26"/>
      <c r="J60" s="26"/>
      <c r="K60" s="59"/>
      <c r="L60" s="141">
        <f t="shared" si="2"/>
        <v>0</v>
      </c>
      <c r="M60" s="132">
        <f t="shared" si="3"/>
        <v>19.335000000000001</v>
      </c>
      <c r="N60" s="105">
        <f t="shared" si="4"/>
        <v>19.335000000000001</v>
      </c>
      <c r="O60" s="107">
        <v>1.1000000000000001</v>
      </c>
      <c r="P60" s="331">
        <v>0</v>
      </c>
      <c r="Q60" s="365">
        <v>38.67</v>
      </c>
      <c r="R60" s="370">
        <v>0.5</v>
      </c>
    </row>
    <row r="61" spans="2:19" s="45" customFormat="1" ht="12.65" customHeight="1" x14ac:dyDescent="0.35">
      <c r="B61" s="87"/>
      <c r="C61" s="100" t="s">
        <v>624</v>
      </c>
      <c r="D61" s="100"/>
      <c r="E61" s="88"/>
      <c r="F61" s="88"/>
      <c r="G61" s="88"/>
      <c r="H61" s="88"/>
      <c r="I61" s="88"/>
      <c r="J61" s="88"/>
      <c r="K61" s="90"/>
      <c r="L61" s="145">
        <f t="shared" si="2"/>
        <v>0</v>
      </c>
      <c r="M61" s="132">
        <f t="shared" si="3"/>
        <v>23.184840000000001</v>
      </c>
      <c r="N61" s="105">
        <f t="shared" si="4"/>
        <v>23.184840000000001</v>
      </c>
      <c r="O61" s="107">
        <v>1.1000000000000001</v>
      </c>
      <c r="P61" s="331">
        <v>0</v>
      </c>
      <c r="Q61" s="365">
        <v>39.43</v>
      </c>
      <c r="R61" s="370">
        <v>0.41199999999999998</v>
      </c>
    </row>
    <row r="62" spans="2:19" s="45" customFormat="1" ht="12.65" customHeight="1" x14ac:dyDescent="0.35">
      <c r="B62" s="83">
        <v>9020020001</v>
      </c>
      <c r="C62" s="39" t="s">
        <v>625</v>
      </c>
      <c r="D62" s="39"/>
      <c r="E62" s="26"/>
      <c r="F62" s="26"/>
      <c r="G62" s="26"/>
      <c r="H62" s="26"/>
      <c r="I62" s="26"/>
      <c r="J62" s="26"/>
      <c r="K62" s="59"/>
      <c r="L62" s="141">
        <f t="shared" si="2"/>
        <v>0</v>
      </c>
      <c r="M62" s="132">
        <f t="shared" si="3"/>
        <v>20.12</v>
      </c>
      <c r="N62" s="105">
        <f t="shared" si="4"/>
        <v>20.12</v>
      </c>
      <c r="O62" s="107">
        <v>0.65</v>
      </c>
      <c r="P62" s="331">
        <v>0</v>
      </c>
      <c r="Q62" s="365">
        <v>40.24</v>
      </c>
      <c r="R62" s="370">
        <v>0.5</v>
      </c>
    </row>
    <row r="63" spans="2:19" ht="12.65" customHeight="1" x14ac:dyDescent="0.35">
      <c r="B63" s="83">
        <v>9020020003</v>
      </c>
      <c r="C63" s="39" t="s">
        <v>626</v>
      </c>
      <c r="D63" s="39"/>
      <c r="E63" s="26"/>
      <c r="F63" s="26"/>
      <c r="G63" s="26"/>
      <c r="H63" s="26"/>
      <c r="I63" s="26"/>
      <c r="J63" s="26"/>
      <c r="K63" s="59"/>
      <c r="L63" s="141">
        <f t="shared" si="2"/>
        <v>0</v>
      </c>
      <c r="M63" s="132">
        <f t="shared" si="3"/>
        <v>30.62</v>
      </c>
      <c r="N63" s="105">
        <f>(Q63*(100%-R63))</f>
        <v>30.62</v>
      </c>
      <c r="O63" s="107">
        <v>1</v>
      </c>
      <c r="P63" s="331">
        <v>0</v>
      </c>
      <c r="Q63" s="365">
        <v>61.24</v>
      </c>
      <c r="R63" s="370">
        <v>0.5</v>
      </c>
      <c r="S63" s="45"/>
    </row>
    <row r="64" spans="2:19" x14ac:dyDescent="0.35">
      <c r="N64" s="263"/>
      <c r="O64" s="107"/>
      <c r="P64" s="107"/>
    </row>
    <row r="65" spans="2:19" s="45" customFormat="1" x14ac:dyDescent="0.35">
      <c r="B65" s="17" t="s">
        <v>741</v>
      </c>
      <c r="C65" s="18"/>
      <c r="D65" s="19"/>
      <c r="E65" s="19"/>
      <c r="F65" s="19"/>
      <c r="G65" s="19"/>
      <c r="H65" s="19"/>
      <c r="I65" s="19"/>
      <c r="J65" s="20"/>
      <c r="K65" s="19"/>
      <c r="L65" s="124"/>
      <c r="M65" s="132"/>
      <c r="N65" s="263"/>
      <c r="O65" s="126"/>
      <c r="P65" s="126"/>
    </row>
    <row r="66" spans="2:19" s="92" customFormat="1" x14ac:dyDescent="0.35">
      <c r="B66" s="17"/>
      <c r="C66" s="18"/>
      <c r="D66" s="19"/>
      <c r="E66" s="19"/>
      <c r="F66" s="19"/>
      <c r="G66" s="19"/>
      <c r="H66" s="19"/>
      <c r="I66" s="19"/>
      <c r="J66" s="19"/>
      <c r="K66" s="19"/>
      <c r="L66" s="144"/>
      <c r="M66" s="132"/>
      <c r="N66" s="263"/>
      <c r="O66" s="126"/>
      <c r="P66" s="126"/>
    </row>
    <row r="67" spans="2:19" s="45" customFormat="1" ht="11.6" x14ac:dyDescent="0.35">
      <c r="B67" s="26" t="s">
        <v>27</v>
      </c>
      <c r="D67" s="26" t="s">
        <v>86</v>
      </c>
      <c r="E67" s="27"/>
      <c r="F67" s="23"/>
      <c r="G67" s="39"/>
      <c r="H67" s="74"/>
      <c r="I67" s="74"/>
      <c r="J67" s="74"/>
      <c r="K67" s="74"/>
      <c r="L67" s="131" t="s">
        <v>77</v>
      </c>
      <c r="M67" s="132"/>
      <c r="N67" s="139" t="s">
        <v>90</v>
      </c>
      <c r="O67" s="108" t="s">
        <v>39</v>
      </c>
      <c r="P67" s="133" t="s">
        <v>40</v>
      </c>
      <c r="Q67" s="133"/>
      <c r="R67" s="133"/>
    </row>
    <row r="68" spans="2:19" s="45" customFormat="1" ht="12.65" customHeight="1" x14ac:dyDescent="0.35">
      <c r="B68" s="83">
        <v>9020020030</v>
      </c>
      <c r="C68" s="39" t="s">
        <v>739</v>
      </c>
      <c r="D68" s="39"/>
      <c r="E68" s="26"/>
      <c r="F68" s="26"/>
      <c r="G68" s="26"/>
      <c r="H68" s="26"/>
      <c r="I68" s="26"/>
      <c r="J68" s="26"/>
      <c r="K68" s="59"/>
      <c r="L68" s="141">
        <f>($S$3*M68)*(100%+O68)</f>
        <v>0</v>
      </c>
      <c r="M68" s="132">
        <f>(N68*(100%+P68))</f>
        <v>37.292400000000001</v>
      </c>
      <c r="N68" s="318">
        <v>34.53</v>
      </c>
      <c r="O68" s="107">
        <v>0.7</v>
      </c>
      <c r="P68" s="331">
        <v>0.08</v>
      </c>
      <c r="Q68" s="365"/>
      <c r="R68" s="370"/>
    </row>
    <row r="69" spans="2:19" s="45" customFormat="1" ht="12.65" customHeight="1" x14ac:dyDescent="0.35">
      <c r="B69" s="83">
        <v>9020020031</v>
      </c>
      <c r="C69" s="39" t="s">
        <v>740</v>
      </c>
      <c r="D69" s="39"/>
      <c r="E69" s="26"/>
      <c r="F69" s="26"/>
      <c r="G69" s="26"/>
      <c r="H69" s="26"/>
      <c r="I69" s="26"/>
      <c r="J69" s="26"/>
      <c r="K69" s="59"/>
      <c r="L69" s="141">
        <f>($S$3*M69)*(100%+O69)</f>
        <v>0</v>
      </c>
      <c r="M69" s="132">
        <f>(N69*(100%+P69))</f>
        <v>47.3688</v>
      </c>
      <c r="N69" s="318">
        <v>43.86</v>
      </c>
      <c r="O69" s="107">
        <v>0.7</v>
      </c>
      <c r="P69" s="331">
        <v>0.08</v>
      </c>
      <c r="Q69" s="365"/>
      <c r="R69" s="370"/>
    </row>
    <row r="70" spans="2:19" s="45" customFormat="1" ht="6.25" customHeight="1" x14ac:dyDescent="0.35">
      <c r="B70" s="83"/>
      <c r="C70" s="39"/>
      <c r="D70" s="39"/>
      <c r="E70" s="26"/>
      <c r="F70" s="26"/>
      <c r="G70" s="26"/>
      <c r="H70" s="26"/>
      <c r="I70" s="26"/>
      <c r="J70" s="26"/>
      <c r="K70" s="26"/>
      <c r="L70" s="147"/>
      <c r="M70" s="132"/>
      <c r="N70" s="318"/>
      <c r="O70" s="107"/>
      <c r="P70" s="331"/>
      <c r="Q70" s="365"/>
      <c r="R70" s="371"/>
    </row>
    <row r="71" spans="2:19" s="45" customFormat="1" ht="6.25" customHeight="1" x14ac:dyDescent="0.35">
      <c r="B71" s="83"/>
      <c r="C71" s="39"/>
      <c r="D71" s="39"/>
      <c r="E71" s="26"/>
      <c r="F71" s="26"/>
      <c r="G71" s="26"/>
      <c r="H71" s="26"/>
      <c r="I71" s="26"/>
      <c r="J71" s="26"/>
      <c r="K71" s="26"/>
      <c r="L71" s="147"/>
      <c r="M71" s="132"/>
      <c r="N71" s="318"/>
      <c r="O71" s="107"/>
      <c r="P71" s="331"/>
      <c r="Q71" s="365"/>
      <c r="R71" s="371"/>
    </row>
    <row r="72" spans="2:19" s="45" customFormat="1" ht="12.65" customHeight="1" x14ac:dyDescent="0.35">
      <c r="B72" s="83">
        <v>9020020032</v>
      </c>
      <c r="C72" s="39" t="s">
        <v>736</v>
      </c>
      <c r="D72" s="39"/>
      <c r="E72" s="26"/>
      <c r="F72" s="26"/>
      <c r="G72" s="26"/>
      <c r="H72" s="26"/>
      <c r="I72" s="26"/>
      <c r="J72" s="26"/>
      <c r="K72" s="59"/>
      <c r="L72" s="141">
        <f>($S$3*M72)*(100%+O72)</f>
        <v>0</v>
      </c>
      <c r="M72" s="132">
        <f>(N72*(100%+P72))</f>
        <v>37.292400000000001</v>
      </c>
      <c r="N72" s="318">
        <v>34.53</v>
      </c>
      <c r="O72" s="107">
        <v>0.7</v>
      </c>
      <c r="P72" s="331">
        <v>0.08</v>
      </c>
      <c r="Q72" s="365"/>
      <c r="R72" s="370"/>
    </row>
    <row r="73" spans="2:19" ht="12.65" customHeight="1" x14ac:dyDescent="0.35">
      <c r="B73" s="83">
        <v>9020020033</v>
      </c>
      <c r="C73" s="39" t="s">
        <v>737</v>
      </c>
      <c r="D73" s="39"/>
      <c r="E73" s="26"/>
      <c r="F73" s="26"/>
      <c r="G73" s="26"/>
      <c r="H73" s="26"/>
      <c r="I73" s="26"/>
      <c r="J73" s="26"/>
      <c r="K73" s="59"/>
      <c r="L73" s="141">
        <f>($S$3*M73)*(100%+O73)</f>
        <v>0</v>
      </c>
      <c r="M73" s="132">
        <f>(N73*(100%+P73))</f>
        <v>47.336400000000005</v>
      </c>
      <c r="N73" s="318">
        <v>43.83</v>
      </c>
      <c r="O73" s="107">
        <v>0.7</v>
      </c>
      <c r="P73" s="331">
        <v>0.08</v>
      </c>
      <c r="Q73" s="365"/>
      <c r="R73" s="370"/>
      <c r="S73" s="45"/>
    </row>
    <row r="74" spans="2:19" ht="12.45" customHeight="1" x14ac:dyDescent="0.35">
      <c r="B74" s="83"/>
      <c r="C74" s="39"/>
      <c r="D74" s="39"/>
      <c r="E74" s="26"/>
      <c r="F74" s="26"/>
      <c r="G74" s="26"/>
      <c r="H74" s="26"/>
      <c r="I74" s="26"/>
      <c r="J74" s="26"/>
      <c r="K74" s="26"/>
      <c r="L74" s="147"/>
      <c r="M74" s="132"/>
      <c r="N74" s="264"/>
      <c r="O74" s="107"/>
      <c r="P74" s="107"/>
      <c r="Q74" s="365"/>
      <c r="R74" s="370"/>
      <c r="S74" s="45"/>
    </row>
    <row r="75" spans="2:19" s="45" customFormat="1" x14ac:dyDescent="0.35">
      <c r="B75" s="17" t="s">
        <v>627</v>
      </c>
      <c r="C75" s="18"/>
      <c r="D75" s="19"/>
      <c r="E75" s="19"/>
      <c r="F75" s="19"/>
      <c r="G75" s="19"/>
      <c r="H75" s="19"/>
      <c r="I75" s="19"/>
      <c r="J75" s="20"/>
      <c r="K75" s="19"/>
      <c r="L75" s="124"/>
      <c r="M75" s="132"/>
      <c r="N75" s="263"/>
      <c r="O75" s="107"/>
      <c r="P75" s="107"/>
      <c r="Q75" s="365"/>
      <c r="R75" s="370"/>
      <c r="S75" s="19"/>
    </row>
    <row r="76" spans="2:19" s="45" customFormat="1" x14ac:dyDescent="0.35">
      <c r="B76" s="17"/>
      <c r="C76" s="18"/>
      <c r="D76" s="19"/>
      <c r="E76" s="19"/>
      <c r="F76" s="19"/>
      <c r="G76" s="19"/>
      <c r="H76" s="19"/>
      <c r="I76" s="19"/>
      <c r="J76" s="19"/>
      <c r="K76" s="19"/>
      <c r="L76" s="144"/>
      <c r="M76" s="132"/>
      <c r="N76" s="263"/>
      <c r="O76" s="107"/>
      <c r="P76" s="107"/>
      <c r="Q76" s="365"/>
      <c r="R76" s="370"/>
    </row>
    <row r="77" spans="2:19" s="45" customFormat="1" ht="11.6" x14ac:dyDescent="0.35">
      <c r="B77" s="26" t="s">
        <v>27</v>
      </c>
      <c r="D77" s="26" t="s">
        <v>86</v>
      </c>
      <c r="E77" s="27"/>
      <c r="F77" s="23"/>
      <c r="G77" s="39"/>
      <c r="H77" s="74"/>
      <c r="I77" s="74"/>
      <c r="J77" s="74"/>
      <c r="K77" s="74"/>
      <c r="L77" s="131" t="s">
        <v>77</v>
      </c>
      <c r="M77" s="132"/>
      <c r="N77" s="139" t="s">
        <v>90</v>
      </c>
      <c r="O77" s="108" t="s">
        <v>39</v>
      </c>
      <c r="P77" s="133" t="s">
        <v>40</v>
      </c>
      <c r="Q77" s="133" t="s">
        <v>422</v>
      </c>
      <c r="R77" s="133" t="s">
        <v>30</v>
      </c>
    </row>
    <row r="78" spans="2:19" s="45" customFormat="1" ht="11.6" x14ac:dyDescent="0.35">
      <c r="B78" s="83">
        <v>9020020011</v>
      </c>
      <c r="C78" s="39" t="s">
        <v>589</v>
      </c>
      <c r="D78" s="39"/>
      <c r="E78" s="26"/>
      <c r="F78" s="26"/>
      <c r="G78" s="26"/>
      <c r="H78" s="26"/>
      <c r="I78" s="26"/>
      <c r="J78" s="26"/>
      <c r="K78" s="59"/>
      <c r="L78" s="134">
        <f>($S$3*M78)*(100%+O78)*(100%+$R$4)</f>
        <v>0</v>
      </c>
      <c r="M78" s="132">
        <f>(N78*(100%+P78))</f>
        <v>29.28</v>
      </c>
      <c r="N78" s="105">
        <f>(Q78*(100%-R78))</f>
        <v>29.28</v>
      </c>
      <c r="O78" s="126">
        <v>1</v>
      </c>
      <c r="P78" s="331">
        <v>0</v>
      </c>
      <c r="Q78" s="365">
        <v>58.56</v>
      </c>
      <c r="R78" s="370">
        <v>0.5</v>
      </c>
    </row>
    <row r="79" spans="2:19" s="45" customFormat="1" ht="11.6" x14ac:dyDescent="0.35">
      <c r="B79" s="83">
        <v>9020020010</v>
      </c>
      <c r="C79" s="39" t="s">
        <v>628</v>
      </c>
      <c r="D79" s="39"/>
      <c r="E79" s="26"/>
      <c r="F79" s="26"/>
      <c r="G79" s="26"/>
      <c r="H79" s="26"/>
      <c r="I79" s="26"/>
      <c r="J79" s="26"/>
      <c r="K79" s="59"/>
      <c r="L79" s="134">
        <f t="shared" ref="L79:L84" si="5">($S$3*M79)*(100%+O79)*(100%+$R$4)</f>
        <v>0</v>
      </c>
      <c r="M79" s="132">
        <f>(N79*(100%+P79))</f>
        <v>37.596720000000005</v>
      </c>
      <c r="N79" s="105">
        <f t="shared" ref="N79:N83" si="6">(Q79*(100%-R79))</f>
        <v>37.596720000000005</v>
      </c>
      <c r="O79" s="126">
        <v>1</v>
      </c>
      <c r="P79" s="331">
        <v>0</v>
      </c>
      <c r="Q79" s="365">
        <v>63.94</v>
      </c>
      <c r="R79" s="370">
        <v>0.41199999999999998</v>
      </c>
    </row>
    <row r="80" spans="2:19" s="45" customFormat="1" ht="11.6" x14ac:dyDescent="0.35">
      <c r="B80" s="83">
        <v>9020020012</v>
      </c>
      <c r="C80" s="39" t="s">
        <v>629</v>
      </c>
      <c r="D80" s="39"/>
      <c r="E80" s="26"/>
      <c r="F80" s="26"/>
      <c r="G80" s="26"/>
      <c r="H80" s="26"/>
      <c r="I80" s="26"/>
      <c r="J80" s="26"/>
      <c r="K80" s="59"/>
      <c r="L80" s="134">
        <f t="shared" si="5"/>
        <v>0</v>
      </c>
      <c r="M80" s="132">
        <f>(N80*(100%+P80))</f>
        <v>37.270000000000003</v>
      </c>
      <c r="N80" s="105">
        <f t="shared" si="6"/>
        <v>37.270000000000003</v>
      </c>
      <c r="O80" s="126">
        <v>1</v>
      </c>
      <c r="P80" s="331">
        <v>0</v>
      </c>
      <c r="Q80" s="365">
        <v>74.540000000000006</v>
      </c>
      <c r="R80" s="371">
        <v>0.5</v>
      </c>
    </row>
    <row r="81" spans="2:19" s="45" customFormat="1" ht="11.6" x14ac:dyDescent="0.35">
      <c r="B81" s="83"/>
      <c r="C81" s="39"/>
      <c r="D81" s="39"/>
      <c r="E81" s="26"/>
      <c r="F81" s="26"/>
      <c r="G81" s="26"/>
      <c r="H81" s="26"/>
      <c r="I81" s="26"/>
      <c r="J81" s="26"/>
      <c r="K81" s="59"/>
      <c r="L81" s="134"/>
      <c r="M81" s="132"/>
      <c r="N81" s="105"/>
      <c r="O81" s="126"/>
      <c r="P81" s="331"/>
      <c r="Q81" s="365"/>
      <c r="R81" s="371"/>
    </row>
    <row r="82" spans="2:19" s="45" customFormat="1" ht="12" customHeight="1" x14ac:dyDescent="0.35">
      <c r="B82" s="83">
        <v>9020020008</v>
      </c>
      <c r="C82" s="39" t="s">
        <v>630</v>
      </c>
      <c r="D82" s="39"/>
      <c r="E82" s="26"/>
      <c r="F82" s="26"/>
      <c r="G82" s="26"/>
      <c r="H82" s="26"/>
      <c r="I82" s="26"/>
      <c r="J82" s="26"/>
      <c r="K82" s="59"/>
      <c r="L82" s="134">
        <f t="shared" si="5"/>
        <v>0</v>
      </c>
      <c r="M82" s="132">
        <f>(N82*(100%+P82))</f>
        <v>29.28</v>
      </c>
      <c r="N82" s="105">
        <f t="shared" si="6"/>
        <v>29.28</v>
      </c>
      <c r="O82" s="126">
        <v>1</v>
      </c>
      <c r="P82" s="331">
        <v>0</v>
      </c>
      <c r="Q82" s="365">
        <v>58.56</v>
      </c>
      <c r="R82" s="370">
        <v>0.5</v>
      </c>
    </row>
    <row r="83" spans="2:19" s="45" customFormat="1" ht="12" customHeight="1" x14ac:dyDescent="0.35">
      <c r="B83" s="83">
        <v>9020020007</v>
      </c>
      <c r="C83" s="39" t="s">
        <v>596</v>
      </c>
      <c r="D83" s="39"/>
      <c r="E83" s="26"/>
      <c r="F83" s="26"/>
      <c r="G83" s="26"/>
      <c r="H83" s="26"/>
      <c r="I83" s="26"/>
      <c r="J83" s="26"/>
      <c r="K83" s="59"/>
      <c r="L83" s="134">
        <f t="shared" si="5"/>
        <v>0</v>
      </c>
      <c r="M83" s="132">
        <f>(N83*(100%+P83))</f>
        <v>37.596720000000005</v>
      </c>
      <c r="N83" s="105">
        <f t="shared" si="6"/>
        <v>37.596720000000005</v>
      </c>
      <c r="O83" s="126">
        <v>1</v>
      </c>
      <c r="P83" s="331">
        <v>0</v>
      </c>
      <c r="Q83" s="365">
        <v>63.94</v>
      </c>
      <c r="R83" s="370">
        <v>0.41199999999999998</v>
      </c>
    </row>
    <row r="84" spans="2:19" s="45" customFormat="1" ht="12" customHeight="1" x14ac:dyDescent="0.35">
      <c r="B84" s="83">
        <v>9020020009</v>
      </c>
      <c r="C84" s="39" t="s">
        <v>631</v>
      </c>
      <c r="D84" s="39"/>
      <c r="E84" s="26"/>
      <c r="F84" s="26"/>
      <c r="G84" s="26"/>
      <c r="H84" s="26"/>
      <c r="I84" s="26"/>
      <c r="J84" s="26"/>
      <c r="K84" s="59"/>
      <c r="L84" s="134">
        <f t="shared" si="5"/>
        <v>0</v>
      </c>
      <c r="M84" s="132">
        <f>(N84*(100%+P84))</f>
        <v>37.270000000000003</v>
      </c>
      <c r="N84" s="105">
        <f>(Q84*(100%-R84))</f>
        <v>37.270000000000003</v>
      </c>
      <c r="O84" s="126">
        <v>1</v>
      </c>
      <c r="P84" s="331">
        <v>0</v>
      </c>
      <c r="Q84" s="365">
        <v>74.540000000000006</v>
      </c>
      <c r="R84" s="371">
        <v>0.5</v>
      </c>
    </row>
    <row r="85" spans="2:19" s="45" customFormat="1" ht="6.45" customHeight="1" x14ac:dyDescent="0.35">
      <c r="B85" s="83"/>
      <c r="C85" s="39"/>
      <c r="D85" s="39"/>
      <c r="E85" s="26"/>
      <c r="F85" s="26"/>
      <c r="G85" s="26"/>
      <c r="H85" s="26"/>
      <c r="I85" s="26"/>
      <c r="J85" s="26"/>
      <c r="K85" s="26"/>
      <c r="L85" s="131"/>
      <c r="M85" s="132"/>
      <c r="N85" s="264"/>
      <c r="O85" s="126"/>
      <c r="P85" s="126"/>
      <c r="Q85" s="19"/>
    </row>
    <row r="86" spans="2:19" s="45" customFormat="1" ht="8.6999999999999993" customHeight="1" x14ac:dyDescent="0.35">
      <c r="B86" s="17"/>
      <c r="C86" s="18"/>
      <c r="D86" s="19"/>
      <c r="E86" s="19"/>
      <c r="F86" s="19"/>
      <c r="G86" s="19"/>
      <c r="H86" s="19"/>
      <c r="I86" s="19"/>
      <c r="J86" s="19"/>
      <c r="K86" s="19"/>
      <c r="L86" s="124"/>
      <c r="M86" s="132"/>
      <c r="N86" s="263"/>
      <c r="O86" s="126"/>
      <c r="P86" s="126"/>
      <c r="Q86" s="52"/>
      <c r="R86" s="53"/>
      <c r="S86" s="19"/>
    </row>
    <row r="87" spans="2:19" s="45" customFormat="1" x14ac:dyDescent="0.35">
      <c r="B87" s="17" t="s">
        <v>91</v>
      </c>
      <c r="C87" s="18"/>
      <c r="D87" s="19"/>
      <c r="E87" s="19"/>
      <c r="F87" s="19"/>
      <c r="G87" s="19"/>
      <c r="H87" s="19"/>
      <c r="I87" s="19"/>
      <c r="J87" s="19"/>
      <c r="K87" s="19"/>
      <c r="L87" s="124"/>
      <c r="M87" s="132"/>
      <c r="N87" s="263"/>
      <c r="O87" s="126"/>
      <c r="P87" s="126"/>
    </row>
    <row r="88" spans="2:19" s="45" customFormat="1" x14ac:dyDescent="0.35">
      <c r="B88" s="17"/>
      <c r="C88" s="18"/>
      <c r="D88" s="19"/>
      <c r="E88" s="19"/>
      <c r="F88" s="19"/>
      <c r="G88" s="19"/>
      <c r="H88" s="19"/>
      <c r="I88" s="19"/>
      <c r="J88" s="19"/>
      <c r="K88" s="19"/>
      <c r="L88" s="144"/>
      <c r="M88" s="132"/>
      <c r="N88" s="263"/>
      <c r="O88" s="126"/>
      <c r="P88" s="126"/>
    </row>
    <row r="89" spans="2:19" s="92" customFormat="1" ht="11.6" x14ac:dyDescent="0.35">
      <c r="B89" s="26" t="s">
        <v>27</v>
      </c>
      <c r="C89" s="45"/>
      <c r="D89" s="26" t="s">
        <v>86</v>
      </c>
      <c r="E89" s="27"/>
      <c r="F89" s="23"/>
      <c r="G89" s="39"/>
      <c r="H89" s="74"/>
      <c r="I89" s="74"/>
      <c r="J89" s="74"/>
      <c r="K89" s="74"/>
      <c r="L89" s="131" t="s">
        <v>77</v>
      </c>
      <c r="M89" s="132"/>
      <c r="N89" s="139" t="s">
        <v>90</v>
      </c>
      <c r="O89" s="108" t="s">
        <v>39</v>
      </c>
      <c r="P89" s="133" t="s">
        <v>40</v>
      </c>
      <c r="Q89" s="133" t="s">
        <v>422</v>
      </c>
      <c r="R89" s="133" t="s">
        <v>30</v>
      </c>
    </row>
    <row r="90" spans="2:19" s="45" customFormat="1" ht="11.6" x14ac:dyDescent="0.35">
      <c r="B90" s="83">
        <v>9020020014</v>
      </c>
      <c r="C90" s="39" t="s">
        <v>2</v>
      </c>
      <c r="D90" s="26"/>
      <c r="E90" s="26"/>
      <c r="F90" s="26"/>
      <c r="G90" s="26"/>
      <c r="H90" s="26"/>
      <c r="I90" s="26"/>
      <c r="J90" s="26"/>
      <c r="K90" s="26"/>
      <c r="L90" s="134">
        <f>($S$3*M90)*(100%+O90)*(100%+$R$4)</f>
        <v>0</v>
      </c>
      <c r="M90" s="132">
        <f>(N90*(100%+P90))</f>
        <v>1.7549999999999999</v>
      </c>
      <c r="N90" s="105">
        <f>(Q90*(100%-R90))</f>
        <v>1.7549999999999999</v>
      </c>
      <c r="O90" s="126">
        <v>1.1000000000000001</v>
      </c>
      <c r="P90" s="331">
        <v>0</v>
      </c>
      <c r="Q90" s="365">
        <v>3.51</v>
      </c>
      <c r="R90" s="370">
        <v>0.5</v>
      </c>
    </row>
    <row r="91" spans="2:19" s="101" customFormat="1" ht="11.6" x14ac:dyDescent="0.35">
      <c r="B91" s="87"/>
      <c r="C91" s="100" t="s">
        <v>36</v>
      </c>
      <c r="D91" s="88"/>
      <c r="E91" s="88"/>
      <c r="F91" s="88"/>
      <c r="G91" s="88"/>
      <c r="H91" s="88"/>
      <c r="I91" s="88"/>
      <c r="J91" s="88"/>
      <c r="K91" s="88"/>
      <c r="L91" s="145">
        <f>($S$3*M91)*(100%+O91)*(100%+$R$4)</f>
        <v>0</v>
      </c>
      <c r="M91" s="132">
        <f>(N91*(100%+P91))</f>
        <v>2.1403200000000004</v>
      </c>
      <c r="N91" s="105">
        <f t="shared" ref="N91:N92" si="7">(Q91*(100%-R91))</f>
        <v>2.1403200000000004</v>
      </c>
      <c r="O91" s="126">
        <v>1</v>
      </c>
      <c r="P91" s="331">
        <v>0</v>
      </c>
      <c r="Q91" s="365">
        <v>3.64</v>
      </c>
      <c r="R91" s="370">
        <v>0.41199999999999998</v>
      </c>
    </row>
    <row r="92" spans="2:19" s="45" customFormat="1" ht="11.6" x14ac:dyDescent="0.35">
      <c r="B92" s="83">
        <v>9020020013</v>
      </c>
      <c r="C92" s="39" t="s">
        <v>1</v>
      </c>
      <c r="D92" s="26"/>
      <c r="E92" s="26"/>
      <c r="F92" s="26"/>
      <c r="G92" s="26"/>
      <c r="H92" s="26"/>
      <c r="I92" s="26"/>
      <c r="J92" s="26"/>
      <c r="K92" s="26"/>
      <c r="L92" s="134">
        <f>($S$3*M92)*(100%+O92)*(100%+$R$4)</f>
        <v>0</v>
      </c>
      <c r="M92" s="132">
        <f>(N92*(100%+P92))</f>
        <v>1.82</v>
      </c>
      <c r="N92" s="105">
        <f t="shared" si="7"/>
        <v>1.82</v>
      </c>
      <c r="O92" s="126">
        <v>1</v>
      </c>
      <c r="P92" s="331">
        <v>0</v>
      </c>
      <c r="Q92" s="365">
        <v>3.64</v>
      </c>
      <c r="R92" s="371">
        <v>0.5</v>
      </c>
    </row>
    <row r="93" spans="2:19" s="92" customFormat="1" ht="11.6" x14ac:dyDescent="0.35">
      <c r="B93" s="83">
        <v>9020020015</v>
      </c>
      <c r="C93" s="39" t="s">
        <v>3</v>
      </c>
      <c r="D93" s="26"/>
      <c r="E93" s="26"/>
      <c r="F93" s="26"/>
      <c r="G93" s="26"/>
      <c r="H93" s="26"/>
      <c r="I93" s="26"/>
      <c r="J93" s="26"/>
      <c r="K93" s="26"/>
      <c r="L93" s="134">
        <f>($S$3*M93)*(100%+O93)*(100%+$R$4)</f>
        <v>0</v>
      </c>
      <c r="M93" s="132">
        <f>(N93*(100%+P93))</f>
        <v>2.0350000000000001</v>
      </c>
      <c r="N93" s="105">
        <f>(Q93*(100%-R93))</f>
        <v>2.0350000000000001</v>
      </c>
      <c r="O93" s="126">
        <v>1.1000000000000001</v>
      </c>
      <c r="P93" s="331">
        <v>0</v>
      </c>
      <c r="Q93" s="365">
        <v>4.07</v>
      </c>
      <c r="R93" s="371">
        <v>0.5</v>
      </c>
    </row>
    <row r="94" spans="2:19" s="45" customFormat="1" x14ac:dyDescent="0.35">
      <c r="B94" s="17"/>
      <c r="C94" s="18"/>
      <c r="D94" s="19"/>
      <c r="E94" s="19"/>
      <c r="F94" s="19"/>
      <c r="G94" s="19"/>
      <c r="H94" s="19"/>
      <c r="I94" s="19"/>
      <c r="J94" s="19"/>
      <c r="K94" s="19"/>
      <c r="L94" s="124"/>
      <c r="M94" s="132"/>
      <c r="N94" s="263"/>
      <c r="O94" s="126"/>
      <c r="P94" s="126"/>
    </row>
    <row r="95" spans="2:19" s="92" customFormat="1" x14ac:dyDescent="0.35">
      <c r="B95" s="17" t="s">
        <v>92</v>
      </c>
      <c r="C95" s="18"/>
      <c r="D95" s="19"/>
      <c r="E95" s="19"/>
      <c r="F95" s="19"/>
      <c r="G95" s="19"/>
      <c r="H95" s="19"/>
      <c r="I95" s="19"/>
      <c r="J95" s="19"/>
      <c r="K95" s="19"/>
      <c r="L95" s="124"/>
      <c r="M95" s="132"/>
      <c r="N95" s="263"/>
      <c r="O95" s="126"/>
      <c r="P95" s="126"/>
    </row>
    <row r="96" spans="2:19" s="45" customFormat="1" x14ac:dyDescent="0.35">
      <c r="B96" s="17"/>
      <c r="C96" s="18"/>
      <c r="D96" s="19"/>
      <c r="E96" s="19"/>
      <c r="F96" s="19"/>
      <c r="G96" s="19"/>
      <c r="H96" s="19"/>
      <c r="I96" s="19"/>
      <c r="J96" s="19"/>
      <c r="K96" s="19"/>
      <c r="L96" s="144"/>
      <c r="M96" s="132"/>
      <c r="N96" s="52"/>
      <c r="O96" s="126"/>
      <c r="P96" s="126"/>
    </row>
    <row r="97" spans="2:18" s="92" customFormat="1" ht="11.6" x14ac:dyDescent="0.35">
      <c r="B97" s="26" t="s">
        <v>27</v>
      </c>
      <c r="C97" s="45"/>
      <c r="D97" s="26" t="s">
        <v>86</v>
      </c>
      <c r="E97" s="27"/>
      <c r="F97" s="23"/>
      <c r="G97" s="39"/>
      <c r="H97" s="74"/>
      <c r="I97" s="74"/>
      <c r="J97" s="74"/>
      <c r="K97" s="74"/>
      <c r="L97" s="131" t="s">
        <v>77</v>
      </c>
      <c r="M97" s="132"/>
      <c r="N97" s="139" t="s">
        <v>90</v>
      </c>
      <c r="O97" s="108" t="s">
        <v>39</v>
      </c>
      <c r="P97" s="133" t="s">
        <v>40</v>
      </c>
      <c r="Q97" s="133" t="s">
        <v>422</v>
      </c>
      <c r="R97" s="133" t="s">
        <v>30</v>
      </c>
    </row>
    <row r="98" spans="2:18" s="45" customFormat="1" ht="11.6" x14ac:dyDescent="0.35">
      <c r="B98" s="83">
        <v>9020020017</v>
      </c>
      <c r="C98" s="39" t="s">
        <v>2</v>
      </c>
      <c r="D98" s="26"/>
      <c r="E98" s="26"/>
      <c r="F98" s="26"/>
      <c r="G98" s="26"/>
      <c r="H98" s="26"/>
      <c r="I98" s="26"/>
      <c r="J98" s="26"/>
      <c r="K98" s="26"/>
      <c r="L98" s="134">
        <f>($S$3*M98)*(100%+O98)*(100%+$R$4)</f>
        <v>0</v>
      </c>
      <c r="M98" s="132">
        <f>(N98*(100%+P98))</f>
        <v>1.37</v>
      </c>
      <c r="N98" s="105">
        <f>(Q98*(100%-R98))</f>
        <v>1.37</v>
      </c>
      <c r="O98" s="126">
        <v>1.85</v>
      </c>
      <c r="P98" s="331">
        <v>0</v>
      </c>
      <c r="Q98" s="365">
        <v>2.74</v>
      </c>
      <c r="R98" s="370">
        <v>0.5</v>
      </c>
    </row>
    <row r="99" spans="2:18" s="101" customFormat="1" ht="11.6" x14ac:dyDescent="0.35">
      <c r="B99" s="87"/>
      <c r="C99" s="100" t="s">
        <v>36</v>
      </c>
      <c r="D99" s="88"/>
      <c r="E99" s="88"/>
      <c r="F99" s="88"/>
      <c r="G99" s="88"/>
      <c r="H99" s="88"/>
      <c r="I99" s="88"/>
      <c r="J99" s="88"/>
      <c r="K99" s="88"/>
      <c r="L99" s="145">
        <f>($S$3*M99)*(100%+O99)*(100%+$R$4)</f>
        <v>0</v>
      </c>
      <c r="M99" s="132">
        <f>(N99*(100%+P99))</f>
        <v>1.6111200000000003</v>
      </c>
      <c r="N99" s="105">
        <f t="shared" ref="N99:N100" si="8">(Q99*(100%-R99))</f>
        <v>1.6111200000000003</v>
      </c>
      <c r="O99" s="126">
        <v>1.85</v>
      </c>
      <c r="P99" s="331">
        <v>0</v>
      </c>
      <c r="Q99" s="365">
        <v>2.74</v>
      </c>
      <c r="R99" s="370">
        <v>0.41199999999999998</v>
      </c>
    </row>
    <row r="100" spans="2:18" s="45" customFormat="1" ht="11.6" x14ac:dyDescent="0.35">
      <c r="B100" s="83">
        <v>9020020016</v>
      </c>
      <c r="C100" s="39" t="s">
        <v>1</v>
      </c>
      <c r="D100" s="26"/>
      <c r="E100" s="26"/>
      <c r="F100" s="26"/>
      <c r="G100" s="26"/>
      <c r="H100" s="26"/>
      <c r="I100" s="26"/>
      <c r="J100" s="26"/>
      <c r="K100" s="26"/>
      <c r="L100" s="134">
        <f>($S$3*M100)*(100%+O100)*(100%+$R$4)</f>
        <v>0</v>
      </c>
      <c r="M100" s="132">
        <f>(N100*(100%+P100))</f>
        <v>1.37</v>
      </c>
      <c r="N100" s="105">
        <f t="shared" si="8"/>
        <v>1.37</v>
      </c>
      <c r="O100" s="126">
        <v>1.85</v>
      </c>
      <c r="P100" s="331">
        <v>0</v>
      </c>
      <c r="Q100" s="365">
        <v>2.74</v>
      </c>
      <c r="R100" s="371">
        <v>0.5</v>
      </c>
    </row>
    <row r="101" spans="2:18" s="92" customFormat="1" ht="11.6" x14ac:dyDescent="0.35">
      <c r="B101" s="83">
        <v>9020020018</v>
      </c>
      <c r="C101" s="39" t="s">
        <v>3</v>
      </c>
      <c r="D101" s="26"/>
      <c r="E101" s="26"/>
      <c r="F101" s="26"/>
      <c r="G101" s="26"/>
      <c r="H101" s="26"/>
      <c r="I101" s="26"/>
      <c r="J101" s="26"/>
      <c r="K101" s="26"/>
      <c r="L101" s="134">
        <f>($S$3*M101)*(100%+O101)*(100%+$R$4)</f>
        <v>0</v>
      </c>
      <c r="M101" s="132">
        <f>(N101*(100%+P101))</f>
        <v>2.21</v>
      </c>
      <c r="N101" s="105">
        <f>(Q101*(100%-R101))</f>
        <v>2.21</v>
      </c>
      <c r="O101" s="126">
        <v>1.1499999999999999</v>
      </c>
      <c r="P101" s="331">
        <v>0</v>
      </c>
      <c r="Q101" s="365">
        <v>4.42</v>
      </c>
      <c r="R101" s="371">
        <v>0.5</v>
      </c>
    </row>
    <row r="102" spans="2:18" s="45" customFormat="1" x14ac:dyDescent="0.35">
      <c r="B102" s="17"/>
      <c r="C102" s="18"/>
      <c r="D102" s="19"/>
      <c r="E102" s="19"/>
      <c r="F102" s="19"/>
      <c r="G102" s="19"/>
      <c r="H102" s="19"/>
      <c r="I102" s="19"/>
      <c r="J102" s="19"/>
      <c r="K102" s="19"/>
      <c r="L102" s="124"/>
      <c r="M102" s="132"/>
      <c r="N102" s="263"/>
      <c r="O102" s="126"/>
      <c r="P102" s="126"/>
    </row>
    <row r="103" spans="2:18" s="45" customFormat="1" x14ac:dyDescent="0.35">
      <c r="B103" s="17" t="s">
        <v>632</v>
      </c>
      <c r="C103" s="18"/>
      <c r="D103" s="19"/>
      <c r="E103" s="19"/>
      <c r="F103" s="19"/>
      <c r="G103" s="19"/>
      <c r="H103" s="19"/>
      <c r="I103" s="19"/>
      <c r="J103" s="19"/>
      <c r="K103" s="19"/>
      <c r="L103" s="124"/>
      <c r="M103" s="132"/>
      <c r="N103" s="263"/>
      <c r="O103" s="126"/>
      <c r="P103" s="126"/>
    </row>
    <row r="104" spans="2:18" s="45" customFormat="1" ht="12.45" customHeight="1" x14ac:dyDescent="0.35">
      <c r="B104" s="17"/>
      <c r="C104" s="18"/>
      <c r="D104" s="19"/>
      <c r="E104" s="19"/>
      <c r="F104" s="19"/>
      <c r="G104" s="19"/>
      <c r="H104" s="19"/>
      <c r="I104" s="19"/>
      <c r="J104" s="19"/>
      <c r="K104" s="19"/>
      <c r="L104" s="144"/>
      <c r="M104" s="132"/>
      <c r="N104" s="265"/>
      <c r="O104" s="126"/>
      <c r="P104" s="126"/>
    </row>
    <row r="105" spans="2:18" s="92" customFormat="1" ht="11.6" x14ac:dyDescent="0.35">
      <c r="B105" s="26" t="s">
        <v>27</v>
      </c>
      <c r="C105" s="45"/>
      <c r="D105" s="26" t="s">
        <v>86</v>
      </c>
      <c r="E105" s="27"/>
      <c r="F105" s="23"/>
      <c r="G105" s="39"/>
      <c r="H105" s="74"/>
      <c r="I105" s="74"/>
      <c r="J105" s="74"/>
      <c r="K105" s="74"/>
      <c r="L105" s="131" t="s">
        <v>77</v>
      </c>
      <c r="M105" s="132"/>
      <c r="N105" s="139" t="s">
        <v>90</v>
      </c>
      <c r="O105" s="108" t="s">
        <v>39</v>
      </c>
      <c r="P105" s="133" t="s">
        <v>40</v>
      </c>
    </row>
    <row r="106" spans="2:18" s="45" customFormat="1" ht="11.6" x14ac:dyDescent="0.35">
      <c r="B106" s="103">
        <v>9020030001</v>
      </c>
      <c r="C106" s="82" t="s">
        <v>44</v>
      </c>
      <c r="D106" s="52"/>
      <c r="E106" s="52"/>
      <c r="F106" s="52"/>
      <c r="G106" s="52"/>
      <c r="H106" s="52"/>
      <c r="I106" s="52"/>
      <c r="J106" s="52"/>
      <c r="K106" s="118"/>
      <c r="L106" s="134">
        <f>($S$3*M106)*(100%+O106)*(100%+$R$4)</f>
        <v>0</v>
      </c>
      <c r="M106" s="132">
        <f>(N106*(100%+P106))</f>
        <v>9.26</v>
      </c>
      <c r="N106" s="318">
        <v>9.26</v>
      </c>
      <c r="O106" s="126">
        <v>0.5</v>
      </c>
      <c r="P106" s="331">
        <v>0</v>
      </c>
    </row>
    <row r="107" spans="2:18" s="45" customFormat="1" ht="11.6" x14ac:dyDescent="0.35">
      <c r="B107" s="87"/>
      <c r="C107" s="100" t="s">
        <v>47</v>
      </c>
      <c r="D107" s="88"/>
      <c r="E107" s="88"/>
      <c r="F107" s="88"/>
      <c r="G107" s="88"/>
      <c r="H107" s="88"/>
      <c r="I107" s="88"/>
      <c r="J107" s="88"/>
      <c r="K107" s="90"/>
      <c r="L107" s="145">
        <f>($S$3*M107)*(100%+O107)*(100%+$R$4)</f>
        <v>0</v>
      </c>
      <c r="M107" s="132">
        <f>(N107*(100%+P107))</f>
        <v>10.422000000000001</v>
      </c>
      <c r="N107" s="318">
        <v>9.65</v>
      </c>
      <c r="O107" s="126">
        <v>0.5</v>
      </c>
      <c r="P107" s="331">
        <v>0.08</v>
      </c>
    </row>
    <row r="108" spans="2:18" s="45" customFormat="1" ht="11.6" x14ac:dyDescent="0.35">
      <c r="B108" s="83">
        <v>9020030002</v>
      </c>
      <c r="C108" s="39" t="s">
        <v>45</v>
      </c>
      <c r="D108" s="26"/>
      <c r="E108" s="26"/>
      <c r="F108" s="26"/>
      <c r="G108" s="26"/>
      <c r="H108" s="26"/>
      <c r="I108" s="26"/>
      <c r="J108" s="26"/>
      <c r="K108" s="59"/>
      <c r="L108" s="134">
        <f>($S$3*M108)*(100%+O108)*(100%+$R$4)</f>
        <v>0</v>
      </c>
      <c r="M108" s="132">
        <f>(N108*(100%+P108))</f>
        <v>8.89</v>
      </c>
      <c r="N108" s="318">
        <v>8.89</v>
      </c>
      <c r="O108" s="126">
        <v>0.5</v>
      </c>
      <c r="P108" s="331">
        <v>0</v>
      </c>
    </row>
    <row r="109" spans="2:18" s="92" customFormat="1" ht="12.45" customHeight="1" x14ac:dyDescent="0.35">
      <c r="B109" s="83">
        <v>9020030003</v>
      </c>
      <c r="C109" s="39" t="s">
        <v>46</v>
      </c>
      <c r="D109" s="26"/>
      <c r="E109" s="26"/>
      <c r="F109" s="26"/>
      <c r="G109" s="26"/>
      <c r="H109" s="26"/>
      <c r="I109" s="26"/>
      <c r="J109" s="26"/>
      <c r="K109" s="59"/>
      <c r="L109" s="134">
        <f>($S$3*M109)*(100%+O109)*(100%+$R$4)</f>
        <v>0</v>
      </c>
      <c r="M109" s="132">
        <f>(N109*(100%+P109))</f>
        <v>17.670000000000002</v>
      </c>
      <c r="N109" s="318">
        <v>17.670000000000002</v>
      </c>
      <c r="O109" s="126">
        <v>0.9</v>
      </c>
      <c r="P109" s="331">
        <v>0</v>
      </c>
    </row>
    <row r="110" spans="2:18" s="45" customFormat="1" ht="12.45" customHeight="1" x14ac:dyDescent="0.35">
      <c r="B110" s="17"/>
      <c r="C110" s="18"/>
      <c r="D110" s="19"/>
      <c r="E110" s="19"/>
      <c r="F110" s="19"/>
      <c r="G110" s="19"/>
      <c r="H110" s="19"/>
      <c r="I110" s="19"/>
      <c r="J110" s="19"/>
      <c r="K110" s="19"/>
      <c r="L110" s="124"/>
      <c r="M110" s="132"/>
      <c r="N110" s="263"/>
      <c r="O110" s="126"/>
      <c r="P110" s="126"/>
    </row>
    <row r="111" spans="2:18" s="45" customFormat="1" x14ac:dyDescent="0.35">
      <c r="B111" s="17" t="s">
        <v>633</v>
      </c>
      <c r="C111" s="18"/>
      <c r="D111" s="19"/>
      <c r="E111" s="19"/>
      <c r="F111" s="19"/>
      <c r="G111" s="19"/>
      <c r="H111" s="19"/>
      <c r="I111" s="19"/>
      <c r="J111" s="19"/>
      <c r="K111" s="19"/>
      <c r="L111" s="124"/>
      <c r="M111" s="132"/>
      <c r="N111" s="265"/>
      <c r="O111" s="126"/>
      <c r="P111" s="126"/>
    </row>
    <row r="112" spans="2:18" s="45" customFormat="1" x14ac:dyDescent="0.35">
      <c r="B112" s="17"/>
      <c r="C112" s="18"/>
      <c r="D112" s="19"/>
      <c r="E112" s="19"/>
      <c r="F112" s="19"/>
      <c r="G112" s="19"/>
      <c r="H112" s="19"/>
      <c r="I112" s="19"/>
      <c r="J112" s="19"/>
      <c r="K112" s="19"/>
      <c r="L112" s="144"/>
      <c r="M112" s="132"/>
      <c r="N112" s="263"/>
      <c r="O112" s="126"/>
      <c r="P112" s="126"/>
    </row>
    <row r="113" spans="2:19" s="45" customFormat="1" ht="11.6" x14ac:dyDescent="0.35">
      <c r="B113" s="26" t="s">
        <v>27</v>
      </c>
      <c r="D113" s="26" t="s">
        <v>86</v>
      </c>
      <c r="E113" s="27"/>
      <c r="F113" s="23"/>
      <c r="G113" s="39"/>
      <c r="H113" s="74"/>
      <c r="I113" s="74"/>
      <c r="J113" s="74"/>
      <c r="K113" s="74"/>
      <c r="L113" s="131" t="s">
        <v>77</v>
      </c>
      <c r="M113" s="132"/>
      <c r="N113" s="139" t="s">
        <v>90</v>
      </c>
      <c r="O113" s="108" t="s">
        <v>39</v>
      </c>
      <c r="P113" s="133" t="s">
        <v>40</v>
      </c>
    </row>
    <row r="114" spans="2:19" s="45" customFormat="1" ht="12" customHeight="1" x14ac:dyDescent="0.35">
      <c r="B114" s="103">
        <v>9020030004</v>
      </c>
      <c r="C114" s="82" t="s">
        <v>44</v>
      </c>
      <c r="D114" s="52"/>
      <c r="E114" s="52"/>
      <c r="F114" s="52"/>
      <c r="G114" s="52"/>
      <c r="H114" s="52"/>
      <c r="I114" s="52"/>
      <c r="J114" s="52"/>
      <c r="K114" s="118"/>
      <c r="L114" s="141">
        <f>($S$3*M114)*(100%+O114)*(100%+$R$4)</f>
        <v>0</v>
      </c>
      <c r="M114" s="132">
        <f>(N114*(100%+P114))</f>
        <v>20.51</v>
      </c>
      <c r="N114" s="318">
        <v>20.51</v>
      </c>
      <c r="O114" s="126">
        <v>0.76</v>
      </c>
      <c r="P114" s="331">
        <v>0</v>
      </c>
      <c r="Q114" s="52"/>
      <c r="R114" s="53"/>
      <c r="S114" s="19"/>
    </row>
    <row r="115" spans="2:19" s="45" customFormat="1" ht="11.6" x14ac:dyDescent="0.35">
      <c r="B115" s="87"/>
      <c r="C115" s="100" t="s">
        <v>47</v>
      </c>
      <c r="D115" s="88"/>
      <c r="E115" s="88"/>
      <c r="F115" s="88"/>
      <c r="G115" s="88"/>
      <c r="H115" s="88"/>
      <c r="I115" s="88"/>
      <c r="J115" s="88"/>
      <c r="K115" s="90"/>
      <c r="L115" s="145">
        <f>($S$3*M115)*(100%+O115)*(100%+$R$4)</f>
        <v>0</v>
      </c>
      <c r="M115" s="132">
        <f>(N115*(100%+P115))</f>
        <v>23.587200000000003</v>
      </c>
      <c r="N115" s="318">
        <v>21.84</v>
      </c>
      <c r="O115" s="126">
        <v>0.76</v>
      </c>
      <c r="P115" s="331">
        <v>0.08</v>
      </c>
    </row>
    <row r="116" spans="2:19" s="45" customFormat="1" ht="11.6" x14ac:dyDescent="0.35">
      <c r="B116" s="83">
        <v>9020030005</v>
      </c>
      <c r="C116" s="39" t="s">
        <v>45</v>
      </c>
      <c r="D116" s="26"/>
      <c r="E116" s="26"/>
      <c r="F116" s="26"/>
      <c r="G116" s="26"/>
      <c r="H116" s="26"/>
      <c r="I116" s="26"/>
      <c r="J116" s="26"/>
      <c r="K116" s="59"/>
      <c r="L116" s="141">
        <f>($S$3*M116)*(100%+O116)*(100%+$R$4)</f>
        <v>0</v>
      </c>
      <c r="M116" s="132">
        <f>(N116*(100%+P116))</f>
        <v>23.68</v>
      </c>
      <c r="N116" s="318">
        <v>23.68</v>
      </c>
      <c r="O116" s="126">
        <v>0.5</v>
      </c>
      <c r="P116" s="331">
        <v>0</v>
      </c>
    </row>
    <row r="117" spans="2:19" s="45" customFormat="1" ht="12.45" customHeight="1" x14ac:dyDescent="0.35">
      <c r="B117" s="83">
        <v>9020030006</v>
      </c>
      <c r="C117" s="39" t="s">
        <v>46</v>
      </c>
      <c r="D117" s="26"/>
      <c r="E117" s="26"/>
      <c r="F117" s="26"/>
      <c r="G117" s="26"/>
      <c r="H117" s="26"/>
      <c r="I117" s="26"/>
      <c r="J117" s="26"/>
      <c r="K117" s="59"/>
      <c r="L117" s="141">
        <f>($S$3*M117)*(100%+O117)*(100%+$R$4)</f>
        <v>0</v>
      </c>
      <c r="M117" s="132">
        <f>(N117*(100%+P117))</f>
        <v>32.549999999999997</v>
      </c>
      <c r="N117" s="318">
        <v>32.549999999999997</v>
      </c>
      <c r="O117" s="126">
        <v>1.43</v>
      </c>
      <c r="P117" s="331">
        <v>0</v>
      </c>
    </row>
    <row r="118" spans="2:19" s="101" customFormat="1" ht="22.95" customHeight="1" x14ac:dyDescent="0.35">
      <c r="B118" s="17"/>
      <c r="C118" s="18"/>
      <c r="D118" s="19"/>
      <c r="E118" s="19"/>
      <c r="F118" s="19"/>
      <c r="G118" s="19"/>
      <c r="H118" s="19"/>
      <c r="I118" s="19"/>
      <c r="J118" s="19"/>
      <c r="K118" s="19"/>
      <c r="L118" s="124"/>
      <c r="M118" s="132"/>
      <c r="N118" s="263"/>
      <c r="O118" s="126"/>
      <c r="P118" s="126"/>
    </row>
    <row r="119" spans="2:19" s="45" customFormat="1" x14ac:dyDescent="0.35">
      <c r="B119" s="17" t="s">
        <v>634</v>
      </c>
      <c r="C119" s="18"/>
      <c r="D119" s="19"/>
      <c r="E119" s="19"/>
      <c r="F119" s="19"/>
      <c r="G119" s="19"/>
      <c r="H119" s="19"/>
      <c r="I119" s="19"/>
      <c r="J119" s="19"/>
      <c r="K119" s="19"/>
      <c r="L119" s="124"/>
      <c r="M119" s="132"/>
      <c r="N119" s="263"/>
      <c r="O119" s="126"/>
      <c r="P119" s="126"/>
    </row>
    <row r="120" spans="2:19" s="45" customFormat="1" ht="12.45" customHeight="1" x14ac:dyDescent="0.35">
      <c r="B120" s="17"/>
      <c r="C120" s="18"/>
      <c r="D120" s="19"/>
      <c r="E120" s="19"/>
      <c r="F120" s="19"/>
      <c r="G120" s="19"/>
      <c r="H120" s="19"/>
      <c r="I120" s="19"/>
      <c r="J120" s="19"/>
      <c r="K120" s="19"/>
      <c r="L120" s="144"/>
      <c r="M120" s="132"/>
      <c r="N120" s="265"/>
      <c r="O120" s="126"/>
      <c r="P120" s="126"/>
    </row>
    <row r="121" spans="2:19" x14ac:dyDescent="0.35">
      <c r="B121" s="26" t="s">
        <v>27</v>
      </c>
      <c r="C121" s="28"/>
      <c r="D121" s="26" t="s">
        <v>86</v>
      </c>
      <c r="E121" s="28"/>
      <c r="F121" s="39"/>
      <c r="G121" s="39"/>
      <c r="H121" s="74"/>
      <c r="I121" s="74"/>
      <c r="J121" s="74"/>
      <c r="K121" s="74"/>
      <c r="L121" s="131" t="s">
        <v>77</v>
      </c>
      <c r="M121" s="132"/>
      <c r="N121" s="139" t="s">
        <v>90</v>
      </c>
      <c r="O121" s="108" t="s">
        <v>39</v>
      </c>
      <c r="P121" s="133" t="s">
        <v>40</v>
      </c>
      <c r="Q121" s="133" t="s">
        <v>422</v>
      </c>
      <c r="R121" s="133" t="s">
        <v>30</v>
      </c>
    </row>
    <row r="122" spans="2:19" s="45" customFormat="1" ht="12" customHeight="1" x14ac:dyDescent="0.35">
      <c r="B122" s="103">
        <v>9020030007</v>
      </c>
      <c r="C122" s="82" t="s">
        <v>603</v>
      </c>
      <c r="D122" s="52"/>
      <c r="E122" s="52"/>
      <c r="F122" s="52"/>
      <c r="G122" s="52"/>
      <c r="H122" s="52"/>
      <c r="I122" s="52"/>
      <c r="J122" s="52"/>
      <c r="K122" s="118"/>
      <c r="L122" s="141">
        <f>($S$3*M122)*(100%+O122)*(100%+$R$4)</f>
        <v>0</v>
      </c>
      <c r="M122" s="132">
        <f>(N122*(100%+P122))</f>
        <v>42.12</v>
      </c>
      <c r="N122" s="105">
        <f>(Q122*(100%-R122))</f>
        <v>42.12</v>
      </c>
      <c r="O122" s="126">
        <v>1.25</v>
      </c>
      <c r="P122" s="331">
        <v>0</v>
      </c>
      <c r="Q122" s="365">
        <v>84.24</v>
      </c>
      <c r="R122" s="370">
        <v>0.5</v>
      </c>
      <c r="S122" s="19"/>
    </row>
    <row r="123" spans="2:19" s="45" customFormat="1" ht="11.6" x14ac:dyDescent="0.35">
      <c r="B123" s="103">
        <v>9020030008</v>
      </c>
      <c r="C123" s="82" t="s">
        <v>604</v>
      </c>
      <c r="D123" s="52"/>
      <c r="E123" s="52"/>
      <c r="F123" s="52"/>
      <c r="G123" s="52"/>
      <c r="H123" s="52"/>
      <c r="I123" s="52"/>
      <c r="J123" s="52"/>
      <c r="K123" s="118"/>
      <c r="L123" s="141">
        <f>($S$3*M123)*(100%+O123)*(100%+$R$4)</f>
        <v>0</v>
      </c>
      <c r="M123" s="132">
        <f>(N123*(100%+P123))</f>
        <v>42.12</v>
      </c>
      <c r="N123" s="105">
        <f t="shared" ref="N123" si="9">(Q123*(100%-R123))</f>
        <v>42.12</v>
      </c>
      <c r="O123" s="126">
        <v>1.3</v>
      </c>
      <c r="P123" s="331">
        <v>0</v>
      </c>
      <c r="Q123" s="365">
        <v>84.24</v>
      </c>
      <c r="R123" s="370">
        <v>0.5</v>
      </c>
    </row>
    <row r="124" spans="2:19" s="45" customFormat="1" ht="11.6" x14ac:dyDescent="0.35">
      <c r="B124" s="103">
        <v>9020030009</v>
      </c>
      <c r="C124" s="82" t="s">
        <v>635</v>
      </c>
      <c r="D124" s="52"/>
      <c r="E124" s="52"/>
      <c r="F124" s="52"/>
      <c r="G124" s="52"/>
      <c r="H124" s="52"/>
      <c r="I124" s="52"/>
      <c r="J124" s="52"/>
      <c r="K124" s="118"/>
      <c r="L124" s="141">
        <f>($S$3*M124)*(100%+O124)*(100%+$R$4)</f>
        <v>0</v>
      </c>
      <c r="M124" s="132">
        <f>(N124*(100%+P124))</f>
        <v>43.61</v>
      </c>
      <c r="N124" s="105">
        <f>(Q124*(100%-R124))</f>
        <v>43.61</v>
      </c>
      <c r="O124" s="126">
        <v>1.5</v>
      </c>
      <c r="P124" s="331">
        <v>0</v>
      </c>
      <c r="Q124" s="365">
        <v>87.22</v>
      </c>
      <c r="R124" s="371">
        <v>0.5</v>
      </c>
    </row>
    <row r="125" spans="2:19" s="101" customFormat="1" ht="12.45" customHeight="1" x14ac:dyDescent="0.35">
      <c r="B125" s="17"/>
      <c r="C125" s="18"/>
      <c r="D125" s="19"/>
      <c r="E125" s="19"/>
      <c r="F125" s="19"/>
      <c r="G125" s="19"/>
      <c r="H125" s="19"/>
      <c r="I125" s="19"/>
      <c r="J125" s="19"/>
      <c r="K125" s="19"/>
      <c r="L125" s="124"/>
      <c r="M125" s="132"/>
      <c r="N125" s="263"/>
      <c r="O125" s="126"/>
      <c r="P125" s="331"/>
      <c r="Q125" s="365"/>
      <c r="R125" s="371"/>
    </row>
    <row r="126" spans="2:19" s="101" customFormat="1" ht="19.2" customHeight="1" x14ac:dyDescent="0.35">
      <c r="B126" s="17"/>
      <c r="C126" s="18"/>
      <c r="D126" s="19"/>
      <c r="E126" s="19"/>
      <c r="F126" s="19"/>
      <c r="G126" s="19"/>
      <c r="H126" s="19"/>
      <c r="I126" s="19"/>
      <c r="J126" s="19"/>
      <c r="K126" s="19"/>
      <c r="L126" s="124"/>
      <c r="M126" s="132"/>
      <c r="N126" s="263"/>
      <c r="O126" s="126"/>
      <c r="P126" s="126"/>
    </row>
    <row r="127" spans="2:19" s="92" customFormat="1" x14ac:dyDescent="0.35">
      <c r="B127" s="17" t="s">
        <v>636</v>
      </c>
      <c r="C127" s="18"/>
      <c r="D127" s="19"/>
      <c r="E127" s="19"/>
      <c r="F127" s="19"/>
      <c r="G127" s="19"/>
      <c r="H127" s="19"/>
      <c r="I127" s="19"/>
      <c r="J127" s="19"/>
      <c r="K127" s="19"/>
      <c r="L127" s="124"/>
      <c r="M127" s="132"/>
      <c r="N127" s="263"/>
      <c r="O127" s="126"/>
      <c r="P127" s="126"/>
    </row>
    <row r="128" spans="2:19" s="45" customFormat="1" ht="12.45" customHeight="1" x14ac:dyDescent="0.35">
      <c r="B128" s="17"/>
      <c r="C128" s="18"/>
      <c r="D128" s="19"/>
      <c r="E128" s="19"/>
      <c r="F128" s="19"/>
      <c r="G128" s="19"/>
      <c r="H128" s="19"/>
      <c r="I128" s="19"/>
      <c r="J128" s="19"/>
      <c r="K128" s="19"/>
      <c r="L128" s="144"/>
      <c r="M128" s="132"/>
      <c r="N128" s="263"/>
      <c r="O128" s="126"/>
      <c r="P128" s="126"/>
    </row>
    <row r="129" spans="2:19" x14ac:dyDescent="0.35">
      <c r="B129" s="26" t="s">
        <v>27</v>
      </c>
      <c r="C129" s="28"/>
      <c r="D129" s="26" t="s">
        <v>86</v>
      </c>
      <c r="E129" s="28"/>
      <c r="F129" s="39"/>
      <c r="G129" s="39"/>
      <c r="H129" s="74"/>
      <c r="I129" s="74"/>
      <c r="J129" s="74"/>
      <c r="K129" s="74"/>
      <c r="L129" s="131" t="s">
        <v>77</v>
      </c>
      <c r="M129" s="132"/>
      <c r="N129" s="139" t="s">
        <v>90</v>
      </c>
      <c r="O129" s="108" t="s">
        <v>39</v>
      </c>
      <c r="P129" s="133" t="s">
        <v>40</v>
      </c>
      <c r="Q129" s="133" t="s">
        <v>422</v>
      </c>
      <c r="R129" s="133" t="s">
        <v>30</v>
      </c>
    </row>
    <row r="130" spans="2:19" ht="12.45" customHeight="1" x14ac:dyDescent="0.35">
      <c r="B130" s="103">
        <v>9020040001</v>
      </c>
      <c r="C130" s="82" t="s">
        <v>50</v>
      </c>
      <c r="D130" s="52"/>
      <c r="E130" s="52"/>
      <c r="F130" s="52"/>
      <c r="G130" s="52"/>
      <c r="H130" s="52"/>
      <c r="I130" s="52"/>
      <c r="J130" s="52"/>
      <c r="K130" s="118"/>
      <c r="L130" s="141">
        <f>($S$3*M130)*(100%+O130)*(100%+$R$4)</f>
        <v>0</v>
      </c>
      <c r="M130" s="132">
        <f>(N130*(100%+P130))</f>
        <v>7.532280000000001</v>
      </c>
      <c r="N130" s="105">
        <f>(Q130*(100%-R130))</f>
        <v>7.532280000000001</v>
      </c>
      <c r="O130" s="126">
        <v>0.75</v>
      </c>
      <c r="P130" s="331">
        <v>0</v>
      </c>
      <c r="Q130" s="365">
        <v>12.81</v>
      </c>
      <c r="R130" s="370">
        <v>0.41199999999999998</v>
      </c>
    </row>
    <row r="131" spans="2:19" ht="12.45" customHeight="1" x14ac:dyDescent="0.35">
      <c r="B131" s="103">
        <v>9020040002</v>
      </c>
      <c r="C131" s="82" t="s">
        <v>51</v>
      </c>
      <c r="D131" s="52"/>
      <c r="E131" s="52"/>
      <c r="F131" s="52"/>
      <c r="G131" s="52"/>
      <c r="H131" s="52"/>
      <c r="I131" s="52"/>
      <c r="J131" s="52"/>
      <c r="K131" s="118"/>
      <c r="L131" s="141">
        <f>($S$3*M131)*(100%+O131)*(100%+$R$4)</f>
        <v>0</v>
      </c>
      <c r="M131" s="132">
        <f>(N131*(100%+P131))</f>
        <v>5.8250000000000002</v>
      </c>
      <c r="N131" s="105">
        <f t="shared" ref="N131:N142" si="10">(Q131*(100%-R131))</f>
        <v>5.8250000000000002</v>
      </c>
      <c r="O131" s="126">
        <v>0.92</v>
      </c>
      <c r="P131" s="331">
        <v>0</v>
      </c>
      <c r="Q131" s="365">
        <v>11.65</v>
      </c>
      <c r="R131" s="370">
        <v>0.5</v>
      </c>
    </row>
    <row r="132" spans="2:19" s="45" customFormat="1" ht="12.45" customHeight="1" x14ac:dyDescent="0.35">
      <c r="B132" s="103">
        <v>9020040003</v>
      </c>
      <c r="C132" s="82" t="s">
        <v>49</v>
      </c>
      <c r="D132" s="52"/>
      <c r="E132" s="52"/>
      <c r="F132" s="52"/>
      <c r="G132" s="52"/>
      <c r="H132" s="52"/>
      <c r="I132" s="52"/>
      <c r="J132" s="52"/>
      <c r="K132" s="118"/>
      <c r="L132" s="141">
        <f>($S$3*M132)*(100%+O132)*(100%+$R$4)</f>
        <v>0</v>
      </c>
      <c r="M132" s="132">
        <f t="shared" ref="M132:M168" si="11">(N132*(100%+P132))</f>
        <v>6.4050000000000002</v>
      </c>
      <c r="N132" s="105">
        <f t="shared" si="10"/>
        <v>6.4050000000000002</v>
      </c>
      <c r="O132" s="126">
        <v>0.85</v>
      </c>
      <c r="P132" s="331">
        <v>0</v>
      </c>
      <c r="Q132" s="365">
        <v>12.81</v>
      </c>
      <c r="R132" s="370">
        <v>0.5</v>
      </c>
      <c r="S132" s="19"/>
    </row>
    <row r="133" spans="2:19" s="45" customFormat="1" ht="12.45" customHeight="1" x14ac:dyDescent="0.35">
      <c r="B133" s="103">
        <v>9020040004</v>
      </c>
      <c r="C133" s="82" t="s">
        <v>52</v>
      </c>
      <c r="D133" s="52"/>
      <c r="E133" s="52"/>
      <c r="F133" s="52"/>
      <c r="G133" s="52"/>
      <c r="H133" s="52"/>
      <c r="I133" s="52"/>
      <c r="J133" s="52"/>
      <c r="K133" s="118"/>
      <c r="L133" s="141">
        <f>($S$3*M133)*(100%+O133)*(100%+$R$4)</f>
        <v>0</v>
      </c>
      <c r="M133" s="132">
        <f t="shared" si="11"/>
        <v>9.0350000000000001</v>
      </c>
      <c r="N133" s="105">
        <f t="shared" si="10"/>
        <v>9.0350000000000001</v>
      </c>
      <c r="O133" s="126">
        <v>1</v>
      </c>
      <c r="P133" s="331">
        <v>0</v>
      </c>
      <c r="Q133" s="365">
        <v>18.07</v>
      </c>
      <c r="R133" s="370">
        <v>0.5</v>
      </c>
    </row>
    <row r="134" spans="2:19" ht="19.95" customHeight="1" x14ac:dyDescent="0.35">
      <c r="B134" s="82"/>
      <c r="C134" s="82"/>
      <c r="D134" s="52"/>
      <c r="E134" s="52"/>
      <c r="F134" s="52"/>
      <c r="G134" s="52"/>
      <c r="H134" s="52"/>
      <c r="I134" s="52"/>
      <c r="J134" s="52"/>
      <c r="K134" s="52"/>
      <c r="L134" s="149" t="s">
        <v>77</v>
      </c>
      <c r="M134" s="132"/>
      <c r="N134" s="105"/>
      <c r="P134" s="331"/>
      <c r="Q134" s="365"/>
      <c r="R134" s="370"/>
    </row>
    <row r="135" spans="2:19" ht="1.4" customHeight="1" x14ac:dyDescent="0.35">
      <c r="B135" s="82"/>
      <c r="C135" s="82"/>
      <c r="D135" s="52"/>
      <c r="E135" s="52"/>
      <c r="F135" s="52"/>
      <c r="G135" s="52"/>
      <c r="H135" s="52"/>
      <c r="I135" s="52"/>
      <c r="J135" s="52"/>
      <c r="K135" s="52"/>
      <c r="L135" s="147"/>
      <c r="M135" s="132"/>
      <c r="N135" s="105"/>
      <c r="P135" s="331"/>
      <c r="Q135" s="365"/>
      <c r="R135" s="370"/>
    </row>
    <row r="136" spans="2:19" s="45" customFormat="1" ht="12.45" customHeight="1" x14ac:dyDescent="0.35">
      <c r="B136" s="103">
        <v>9020040005</v>
      </c>
      <c r="C136" s="82" t="s">
        <v>53</v>
      </c>
      <c r="D136" s="52"/>
      <c r="E136" s="52"/>
      <c r="F136" s="52"/>
      <c r="G136" s="52"/>
      <c r="H136" s="52"/>
      <c r="I136" s="52"/>
      <c r="J136" s="52"/>
      <c r="K136" s="118"/>
      <c r="L136" s="141">
        <f>($S$3*M136)*(100%+O136)*(100%+$R$4)</f>
        <v>0</v>
      </c>
      <c r="M136" s="132">
        <f t="shared" si="11"/>
        <v>6.8090400000000013</v>
      </c>
      <c r="N136" s="105">
        <f t="shared" si="10"/>
        <v>6.8090400000000013</v>
      </c>
      <c r="O136" s="126">
        <v>0.81</v>
      </c>
      <c r="P136" s="331">
        <v>0</v>
      </c>
      <c r="Q136" s="365">
        <v>11.58</v>
      </c>
      <c r="R136" s="370">
        <v>0.41199999999999998</v>
      </c>
      <c r="S136" s="19"/>
    </row>
    <row r="137" spans="2:19" s="45" customFormat="1" ht="12.45" customHeight="1" x14ac:dyDescent="0.35">
      <c r="B137" s="103">
        <v>9020040006</v>
      </c>
      <c r="C137" s="82" t="s">
        <v>54</v>
      </c>
      <c r="D137" s="52"/>
      <c r="E137" s="52"/>
      <c r="F137" s="52"/>
      <c r="G137" s="52"/>
      <c r="H137" s="52"/>
      <c r="I137" s="52"/>
      <c r="J137" s="52"/>
      <c r="K137" s="118"/>
      <c r="L137" s="141">
        <f>($S$3*M137)*(100%+O137)*(100%+$R$4)</f>
        <v>0</v>
      </c>
      <c r="M137" s="132">
        <f t="shared" si="11"/>
        <v>6.8090400000000013</v>
      </c>
      <c r="N137" s="105">
        <f t="shared" si="10"/>
        <v>6.8090400000000013</v>
      </c>
      <c r="O137" s="126">
        <v>0.73</v>
      </c>
      <c r="P137" s="331">
        <v>0</v>
      </c>
      <c r="Q137" s="365">
        <v>11.58</v>
      </c>
      <c r="R137" s="370">
        <v>0.41199999999999998</v>
      </c>
    </row>
    <row r="138" spans="2:19" s="45" customFormat="1" ht="12.45" customHeight="1" x14ac:dyDescent="0.35">
      <c r="B138" s="103">
        <v>9020040007</v>
      </c>
      <c r="C138" s="82" t="s">
        <v>55</v>
      </c>
      <c r="D138" s="52"/>
      <c r="E138" s="52"/>
      <c r="F138" s="52"/>
      <c r="G138" s="52"/>
      <c r="H138" s="52"/>
      <c r="I138" s="52"/>
      <c r="J138" s="52"/>
      <c r="K138" s="118"/>
      <c r="L138" s="141">
        <f>($S$3*M138)*(100%+O138)*(100%+$R$4)</f>
        <v>0</v>
      </c>
      <c r="M138" s="132">
        <f t="shared" si="11"/>
        <v>8.4966000000000008</v>
      </c>
      <c r="N138" s="105">
        <f t="shared" si="10"/>
        <v>8.4966000000000008</v>
      </c>
      <c r="O138" s="126">
        <v>0.92</v>
      </c>
      <c r="P138" s="331">
        <v>0</v>
      </c>
      <c r="Q138" s="365">
        <v>14.45</v>
      </c>
      <c r="R138" s="370">
        <v>0.41199999999999998</v>
      </c>
    </row>
    <row r="139" spans="2:19" s="101" customFormat="1" ht="12.45" customHeight="1" x14ac:dyDescent="0.35">
      <c r="B139" s="103">
        <v>9020040008</v>
      </c>
      <c r="C139" s="82" t="s">
        <v>56</v>
      </c>
      <c r="D139" s="52"/>
      <c r="E139" s="52" t="s">
        <v>184</v>
      </c>
      <c r="F139" s="52"/>
      <c r="G139" s="52"/>
      <c r="H139" s="52"/>
      <c r="I139" s="52"/>
      <c r="J139" s="52"/>
      <c r="K139" s="118"/>
      <c r="L139" s="141">
        <f>($S$3*M139)*(100%+O139)*(100%+$R$4)</f>
        <v>0</v>
      </c>
      <c r="M139" s="132">
        <f t="shared" si="11"/>
        <v>9.7449999999999992</v>
      </c>
      <c r="N139" s="105">
        <f t="shared" si="10"/>
        <v>9.7449999999999992</v>
      </c>
      <c r="O139" s="126">
        <v>0.75</v>
      </c>
      <c r="P139" s="331">
        <v>0</v>
      </c>
      <c r="Q139" s="365">
        <v>19.489999999999998</v>
      </c>
      <c r="R139" s="370">
        <v>0.5</v>
      </c>
    </row>
    <row r="140" spans="2:19" s="101" customFormat="1" ht="20.25" customHeight="1" x14ac:dyDescent="0.35">
      <c r="B140" s="103"/>
      <c r="C140" s="82"/>
      <c r="D140" s="52"/>
      <c r="E140" s="52"/>
      <c r="F140" s="52"/>
      <c r="G140" s="52"/>
      <c r="H140" s="52"/>
      <c r="I140" s="52"/>
      <c r="J140" s="52"/>
      <c r="K140" s="52"/>
      <c r="L140" s="149" t="s">
        <v>77</v>
      </c>
      <c r="M140" s="132"/>
      <c r="N140" s="105"/>
      <c r="O140" s="126"/>
      <c r="P140" s="331"/>
      <c r="Q140" s="365"/>
      <c r="R140" s="370"/>
    </row>
    <row r="141" spans="2:19" s="101" customFormat="1" ht="2.15" customHeight="1" x14ac:dyDescent="0.35">
      <c r="B141" s="103"/>
      <c r="C141" s="82"/>
      <c r="D141" s="52"/>
      <c r="E141" s="52"/>
      <c r="F141" s="52"/>
      <c r="G141" s="52"/>
      <c r="H141" s="52"/>
      <c r="I141" s="52"/>
      <c r="J141" s="52"/>
      <c r="K141" s="52"/>
      <c r="L141" s="147"/>
      <c r="M141" s="132"/>
      <c r="N141" s="105"/>
      <c r="O141" s="126"/>
      <c r="P141" s="331"/>
      <c r="Q141" s="365"/>
      <c r="R141" s="370"/>
    </row>
    <row r="142" spans="2:19" s="45" customFormat="1" ht="11.6" x14ac:dyDescent="0.35">
      <c r="B142" s="103">
        <v>9020040009</v>
      </c>
      <c r="C142" s="82" t="s">
        <v>58</v>
      </c>
      <c r="D142" s="52"/>
      <c r="E142" s="52"/>
      <c r="F142" s="52"/>
      <c r="G142" s="52"/>
      <c r="H142" s="52"/>
      <c r="I142" s="52"/>
      <c r="J142" s="52"/>
      <c r="K142" s="118"/>
      <c r="L142" s="141">
        <f>($S$3*M142)*(100%+O142)*(100%+$R$4)</f>
        <v>0</v>
      </c>
      <c r="M142" s="132">
        <f t="shared" si="11"/>
        <v>9.2139600000000019</v>
      </c>
      <c r="N142" s="105">
        <f t="shared" si="10"/>
        <v>9.2139600000000019</v>
      </c>
      <c r="O142" s="126">
        <v>0.9</v>
      </c>
      <c r="P142" s="331">
        <v>0</v>
      </c>
      <c r="Q142" s="365">
        <v>15.67</v>
      </c>
      <c r="R142" s="370">
        <v>0.41199999999999998</v>
      </c>
    </row>
    <row r="143" spans="2:19" s="45" customFormat="1" ht="11.6" x14ac:dyDescent="0.35">
      <c r="B143" s="103">
        <v>9020040010</v>
      </c>
      <c r="C143" s="82" t="s">
        <v>59</v>
      </c>
      <c r="D143" s="52"/>
      <c r="E143" s="52"/>
      <c r="F143" s="52"/>
      <c r="G143" s="52"/>
      <c r="H143" s="52"/>
      <c r="I143" s="52"/>
      <c r="J143" s="52"/>
      <c r="K143" s="118"/>
      <c r="L143" s="141">
        <f>($S$3*M143)*(100%+O143)*(100%+$R$4)</f>
        <v>0</v>
      </c>
      <c r="M143" s="132">
        <f t="shared" si="11"/>
        <v>11.46012</v>
      </c>
      <c r="N143" s="105">
        <f>(Q143*(100%-R143))</f>
        <v>11.46012</v>
      </c>
      <c r="O143" s="126">
        <v>0.56000000000000005</v>
      </c>
      <c r="P143" s="331">
        <v>0</v>
      </c>
      <c r="Q143" s="365">
        <v>19.489999999999998</v>
      </c>
      <c r="R143" s="370">
        <v>0.41199999999999998</v>
      </c>
    </row>
    <row r="144" spans="2:19" ht="30.45" customHeight="1" x14ac:dyDescent="0.35">
      <c r="M144" s="132"/>
    </row>
    <row r="145" spans="2:19" s="45" customFormat="1" x14ac:dyDescent="0.35">
      <c r="B145" s="17" t="s">
        <v>637</v>
      </c>
      <c r="C145" s="18"/>
      <c r="D145" s="19"/>
      <c r="E145" s="19"/>
      <c r="F145" s="19"/>
      <c r="G145" s="19"/>
      <c r="H145" s="19"/>
      <c r="I145" s="19"/>
      <c r="J145" s="19"/>
      <c r="K145" s="19"/>
      <c r="L145" s="124"/>
      <c r="M145" s="132"/>
      <c r="N145" s="263"/>
      <c r="O145" s="126"/>
      <c r="P145" s="126"/>
      <c r="Q145" s="52"/>
      <c r="R145" s="53"/>
      <c r="S145" s="19"/>
    </row>
    <row r="146" spans="2:19" s="45" customFormat="1" x14ac:dyDescent="0.35">
      <c r="B146" s="17"/>
      <c r="C146" s="18"/>
      <c r="D146" s="19"/>
      <c r="E146" s="19"/>
      <c r="F146" s="19"/>
      <c r="G146" s="19"/>
      <c r="H146" s="19"/>
      <c r="I146" s="19"/>
      <c r="J146" s="19"/>
      <c r="K146" s="19"/>
      <c r="L146" s="144"/>
      <c r="M146" s="132"/>
      <c r="N146" s="263"/>
      <c r="O146" s="126"/>
      <c r="P146" s="126"/>
    </row>
    <row r="147" spans="2:19" x14ac:dyDescent="0.35">
      <c r="B147" s="26" t="s">
        <v>27</v>
      </c>
      <c r="C147" s="28"/>
      <c r="D147" s="26" t="s">
        <v>86</v>
      </c>
      <c r="E147" s="28"/>
      <c r="F147" s="39"/>
      <c r="G147" s="39"/>
      <c r="H147" s="74"/>
      <c r="I147" s="74"/>
      <c r="J147" s="74"/>
      <c r="K147" s="74"/>
      <c r="L147" s="131" t="s">
        <v>77</v>
      </c>
      <c r="M147" s="132"/>
      <c r="N147" s="139" t="s">
        <v>90</v>
      </c>
      <c r="O147" s="108" t="s">
        <v>39</v>
      </c>
      <c r="P147" s="133" t="s">
        <v>40</v>
      </c>
      <c r="Q147" s="133" t="s">
        <v>422</v>
      </c>
      <c r="R147" s="133" t="s">
        <v>30</v>
      </c>
    </row>
    <row r="148" spans="2:19" ht="12.45" customHeight="1" x14ac:dyDescent="0.35">
      <c r="B148" s="103">
        <v>9020040011</v>
      </c>
      <c r="C148" s="82"/>
      <c r="D148" s="82">
        <v>80</v>
      </c>
      <c r="E148" s="52"/>
      <c r="F148" s="52"/>
      <c r="G148" s="52"/>
      <c r="H148" s="52"/>
      <c r="I148" s="52"/>
      <c r="J148" s="52"/>
      <c r="K148" s="118"/>
      <c r="L148" s="141">
        <f>($S$3*M148*(100%+O148)*(100%+$R$4))</f>
        <v>0</v>
      </c>
      <c r="M148" s="132">
        <f t="shared" si="11"/>
        <v>12.077520000000002</v>
      </c>
      <c r="N148" s="105">
        <f>(Q148*(100%-R148))</f>
        <v>12.077520000000002</v>
      </c>
      <c r="O148" s="126">
        <v>0.7</v>
      </c>
      <c r="P148" s="331">
        <v>0</v>
      </c>
      <c r="Q148" s="365">
        <v>20.54</v>
      </c>
      <c r="R148" s="370">
        <v>0.41199999999999998</v>
      </c>
    </row>
    <row r="149" spans="2:19" ht="12.45" customHeight="1" x14ac:dyDescent="0.35">
      <c r="B149" s="103">
        <v>9020040012</v>
      </c>
      <c r="C149" s="52"/>
      <c r="D149" s="82">
        <v>100</v>
      </c>
      <c r="E149" s="52"/>
      <c r="F149" s="52"/>
      <c r="G149" s="52"/>
      <c r="H149" s="52"/>
      <c r="I149" s="52"/>
      <c r="J149" s="52"/>
      <c r="K149" s="118"/>
      <c r="L149" s="141">
        <f>($S$3*M149*(100%+O149)*(100%+$R$4))</f>
        <v>0</v>
      </c>
      <c r="M149" s="132">
        <f t="shared" si="11"/>
        <v>12.383280000000001</v>
      </c>
      <c r="N149" s="105">
        <f t="shared" ref="N149" si="12">(Q149*(100%-R149))</f>
        <v>12.383280000000001</v>
      </c>
      <c r="O149" s="107">
        <v>0.64</v>
      </c>
      <c r="P149" s="331">
        <v>0</v>
      </c>
      <c r="Q149" s="365">
        <v>21.06</v>
      </c>
      <c r="R149" s="370">
        <v>0.41199999999999998</v>
      </c>
    </row>
    <row r="150" spans="2:19" ht="12.45" customHeight="1" x14ac:dyDescent="0.35">
      <c r="B150" s="103">
        <v>9020040013</v>
      </c>
      <c r="C150" s="52"/>
      <c r="D150" s="82">
        <v>120</v>
      </c>
      <c r="E150" s="52"/>
      <c r="F150" s="52"/>
      <c r="G150" s="52"/>
      <c r="H150" s="52"/>
      <c r="I150" s="52"/>
      <c r="J150" s="52"/>
      <c r="K150" s="118"/>
      <c r="L150" s="141">
        <f>($S$3*M150*(100%+O150)*(100%+$R$4))</f>
        <v>0</v>
      </c>
      <c r="M150" s="132">
        <f t="shared" si="11"/>
        <v>16.758705600000003</v>
      </c>
      <c r="N150" s="105">
        <f>(Q150*(100%-R150))</f>
        <v>15.517320000000002</v>
      </c>
      <c r="O150" s="107">
        <v>0.61</v>
      </c>
      <c r="P150" s="331">
        <v>0.08</v>
      </c>
      <c r="Q150" s="365">
        <v>26.39</v>
      </c>
      <c r="R150" s="370">
        <v>0.41199999999999998</v>
      </c>
    </row>
    <row r="151" spans="2:19" ht="12.45" customHeight="1" x14ac:dyDescent="0.35">
      <c r="M151" s="132"/>
    </row>
    <row r="152" spans="2:19" ht="12.45" customHeight="1" x14ac:dyDescent="0.35">
      <c r="M152" s="132"/>
    </row>
    <row r="153" spans="2:19" ht="12.45" customHeight="1" x14ac:dyDescent="0.35">
      <c r="M153" s="132"/>
    </row>
    <row r="154" spans="2:19" ht="12.45" customHeight="1" x14ac:dyDescent="0.35">
      <c r="M154" s="132"/>
    </row>
    <row r="155" spans="2:19" ht="12.45" customHeight="1" x14ac:dyDescent="0.35">
      <c r="M155" s="132"/>
    </row>
    <row r="156" spans="2:19" ht="12.45" customHeight="1" x14ac:dyDescent="0.35">
      <c r="M156" s="132"/>
    </row>
    <row r="157" spans="2:19" ht="12.45" customHeight="1" x14ac:dyDescent="0.35">
      <c r="M157" s="132"/>
    </row>
    <row r="158" spans="2:19" ht="12.45" customHeight="1" x14ac:dyDescent="0.35">
      <c r="M158" s="132"/>
    </row>
    <row r="159" spans="2:19" x14ac:dyDescent="0.35">
      <c r="B159" s="17" t="s">
        <v>638</v>
      </c>
      <c r="M159" s="132"/>
    </row>
    <row r="160" spans="2:19" ht="12.45" customHeight="1" x14ac:dyDescent="0.35">
      <c r="L160" s="144"/>
      <c r="M160" s="132"/>
    </row>
    <row r="161" spans="2:19" x14ac:dyDescent="0.35">
      <c r="B161" s="26" t="s">
        <v>27</v>
      </c>
      <c r="C161" s="28"/>
      <c r="D161" s="26" t="s">
        <v>86</v>
      </c>
      <c r="E161" s="28"/>
      <c r="F161" s="39"/>
      <c r="G161" s="39"/>
      <c r="H161" s="74"/>
      <c r="I161" s="74"/>
      <c r="J161" s="74"/>
      <c r="K161" s="74"/>
      <c r="L161" s="131" t="s">
        <v>77</v>
      </c>
      <c r="M161" s="132"/>
      <c r="N161" s="139" t="s">
        <v>90</v>
      </c>
      <c r="O161" s="108" t="s">
        <v>39</v>
      </c>
      <c r="P161" s="133" t="s">
        <v>40</v>
      </c>
    </row>
    <row r="162" spans="2:19" ht="12.45" customHeight="1" x14ac:dyDescent="0.35">
      <c r="B162" s="103">
        <v>9020050013</v>
      </c>
      <c r="C162" s="82" t="s">
        <v>65</v>
      </c>
      <c r="D162" s="82"/>
      <c r="E162" s="52"/>
      <c r="F162" s="52"/>
      <c r="G162" s="52"/>
      <c r="H162" s="52"/>
      <c r="I162" s="52"/>
      <c r="J162" s="52"/>
      <c r="K162" s="118"/>
      <c r="L162" s="141">
        <f>($S$3*M162*(100%+O162)*(100%+$R$4))</f>
        <v>0</v>
      </c>
      <c r="M162" s="132">
        <f t="shared" si="11"/>
        <v>37.702799999999996</v>
      </c>
      <c r="N162" s="318">
        <v>34.909999999999997</v>
      </c>
      <c r="O162" s="126">
        <v>0.73</v>
      </c>
      <c r="P162" s="331">
        <v>0.08</v>
      </c>
    </row>
    <row r="163" spans="2:19" s="45" customFormat="1" ht="12.45" customHeight="1" x14ac:dyDescent="0.35">
      <c r="B163" s="103">
        <v>9020050011</v>
      </c>
      <c r="C163" s="82" t="s">
        <v>782</v>
      </c>
      <c r="D163" s="82"/>
      <c r="E163" s="52"/>
      <c r="F163" s="52"/>
      <c r="G163" s="52"/>
      <c r="H163" s="52"/>
      <c r="I163" s="52"/>
      <c r="J163" s="52"/>
      <c r="K163" s="118"/>
      <c r="L163" s="141">
        <f t="shared" ref="L163:L168" si="13">($S$3*M163*(100%+O163)*(100%+$R$4))</f>
        <v>0</v>
      </c>
      <c r="M163" s="132">
        <f t="shared" si="11"/>
        <v>37.702799999999996</v>
      </c>
      <c r="N163" s="318">
        <v>34.909999999999997</v>
      </c>
      <c r="O163" s="126">
        <v>0.73</v>
      </c>
      <c r="P163" s="331">
        <v>0.08</v>
      </c>
      <c r="Q163" s="52"/>
      <c r="R163" s="53"/>
      <c r="S163" s="19"/>
    </row>
    <row r="164" spans="2:19" s="45" customFormat="1" ht="12.45" customHeight="1" x14ac:dyDescent="0.35">
      <c r="B164" s="103">
        <v>9020050014</v>
      </c>
      <c r="C164" s="82" t="s">
        <v>66</v>
      </c>
      <c r="D164" s="82"/>
      <c r="E164" s="52"/>
      <c r="F164" s="52"/>
      <c r="G164" s="52"/>
      <c r="H164" s="52"/>
      <c r="I164" s="52"/>
      <c r="J164" s="52"/>
      <c r="K164" s="118"/>
      <c r="L164" s="141">
        <f t="shared" si="13"/>
        <v>0</v>
      </c>
      <c r="M164" s="132">
        <f t="shared" si="11"/>
        <v>37.702799999999996</v>
      </c>
      <c r="N164" s="318">
        <v>34.909999999999997</v>
      </c>
      <c r="O164" s="126">
        <v>0.73</v>
      </c>
      <c r="P164" s="331">
        <v>0.08</v>
      </c>
      <c r="Q164" s="52"/>
      <c r="R164" s="53"/>
      <c r="S164" s="19"/>
    </row>
    <row r="165" spans="2:19" s="45" customFormat="1" ht="12.45" customHeight="1" x14ac:dyDescent="0.35">
      <c r="B165" s="103">
        <v>9020050010</v>
      </c>
      <c r="C165" s="82" t="s">
        <v>62</v>
      </c>
      <c r="D165" s="82"/>
      <c r="E165" s="52"/>
      <c r="F165" s="52"/>
      <c r="G165" s="52"/>
      <c r="H165" s="52"/>
      <c r="I165" s="52"/>
      <c r="J165" s="52"/>
      <c r="K165" s="118"/>
      <c r="L165" s="141">
        <f t="shared" si="13"/>
        <v>0</v>
      </c>
      <c r="M165" s="132">
        <f t="shared" si="11"/>
        <v>37.702799999999996</v>
      </c>
      <c r="N165" s="318">
        <v>34.909999999999997</v>
      </c>
      <c r="O165" s="126">
        <v>0.73</v>
      </c>
      <c r="P165" s="331">
        <v>0.08</v>
      </c>
    </row>
    <row r="166" spans="2:19" s="45" customFormat="1" ht="12.45" customHeight="1" x14ac:dyDescent="0.35">
      <c r="B166" s="103">
        <v>9020050009</v>
      </c>
      <c r="C166" s="52" t="s">
        <v>63</v>
      </c>
      <c r="D166" s="82"/>
      <c r="E166" s="52"/>
      <c r="F166" s="52"/>
      <c r="G166" s="52"/>
      <c r="H166" s="52"/>
      <c r="I166" s="52"/>
      <c r="J166" s="52"/>
      <c r="K166" s="118"/>
      <c r="L166" s="141">
        <f t="shared" si="13"/>
        <v>0</v>
      </c>
      <c r="M166" s="132">
        <f t="shared" si="11"/>
        <v>37.702799999999996</v>
      </c>
      <c r="N166" s="318">
        <v>34.909999999999997</v>
      </c>
      <c r="O166" s="126">
        <v>0.73</v>
      </c>
      <c r="P166" s="331">
        <v>0.08</v>
      </c>
    </row>
    <row r="167" spans="2:19" ht="12.45" customHeight="1" x14ac:dyDescent="0.35">
      <c r="B167" s="103">
        <v>9020050012</v>
      </c>
      <c r="C167" s="52" t="s">
        <v>64</v>
      </c>
      <c r="D167" s="82"/>
      <c r="E167" s="52"/>
      <c r="F167" s="52"/>
      <c r="G167" s="52"/>
      <c r="H167" s="52"/>
      <c r="I167" s="52"/>
      <c r="J167" s="52"/>
      <c r="K167" s="118"/>
      <c r="L167" s="141">
        <f t="shared" si="13"/>
        <v>0</v>
      </c>
      <c r="M167" s="132">
        <f t="shared" si="11"/>
        <v>56.160000000000004</v>
      </c>
      <c r="N167" s="318">
        <v>52</v>
      </c>
      <c r="O167" s="126">
        <v>0.65</v>
      </c>
      <c r="P167" s="331">
        <v>0.08</v>
      </c>
    </row>
    <row r="168" spans="2:19" ht="12.45" customHeight="1" x14ac:dyDescent="0.35">
      <c r="B168" s="103">
        <v>9020050015</v>
      </c>
      <c r="C168" s="52" t="s">
        <v>157</v>
      </c>
      <c r="D168" s="82"/>
      <c r="E168" s="52"/>
      <c r="F168" s="52"/>
      <c r="G168" s="52"/>
      <c r="H168" s="52"/>
      <c r="I168" s="52"/>
      <c r="J168" s="52"/>
      <c r="K168" s="118"/>
      <c r="L168" s="141">
        <f t="shared" si="13"/>
        <v>0</v>
      </c>
      <c r="M168" s="132">
        <f t="shared" si="11"/>
        <v>56.160000000000004</v>
      </c>
      <c r="N168" s="318">
        <v>52</v>
      </c>
      <c r="O168" s="126">
        <v>0.65</v>
      </c>
      <c r="P168" s="331">
        <v>0.08</v>
      </c>
    </row>
    <row r="169" spans="2:19" ht="12.45" customHeight="1" x14ac:dyDescent="0.35">
      <c r="B169" s="82"/>
      <c r="C169" s="52"/>
      <c r="D169" s="82"/>
      <c r="E169" s="52"/>
      <c r="F169" s="52"/>
      <c r="G169" s="52"/>
      <c r="H169" s="52"/>
      <c r="I169" s="52"/>
      <c r="J169" s="52"/>
      <c r="K169" s="52"/>
      <c r="L169" s="147"/>
      <c r="M169" s="143"/>
      <c r="N169" s="264"/>
    </row>
    <row r="170" spans="2:19" ht="12.45" customHeight="1" x14ac:dyDescent="0.35">
      <c r="B170" s="82"/>
      <c r="C170" s="52"/>
      <c r="D170" s="82"/>
      <c r="E170" s="52"/>
      <c r="F170" s="52"/>
      <c r="G170" s="52"/>
      <c r="H170" s="52"/>
      <c r="I170" s="52"/>
      <c r="J170" s="52"/>
      <c r="K170" s="52"/>
      <c r="L170" s="147"/>
      <c r="M170" s="143"/>
      <c r="N170" s="264"/>
    </row>
    <row r="171" spans="2:19" x14ac:dyDescent="0.35">
      <c r="B171" s="17" t="s">
        <v>639</v>
      </c>
    </row>
    <row r="172" spans="2:19" ht="12.45" customHeight="1" x14ac:dyDescent="0.35">
      <c r="L172" s="144"/>
      <c r="M172" s="132"/>
    </row>
    <row r="173" spans="2:19" x14ac:dyDescent="0.35">
      <c r="B173" s="26" t="s">
        <v>27</v>
      </c>
      <c r="C173" s="28"/>
      <c r="D173" s="26" t="s">
        <v>86</v>
      </c>
      <c r="E173" s="28"/>
      <c r="F173" s="39"/>
      <c r="G173" s="39"/>
      <c r="H173" s="74"/>
      <c r="I173" s="74"/>
      <c r="J173" s="74"/>
      <c r="K173" s="74"/>
      <c r="L173" s="131" t="s">
        <v>77</v>
      </c>
      <c r="M173" s="132"/>
      <c r="N173" s="139" t="s">
        <v>90</v>
      </c>
      <c r="O173" s="108" t="s">
        <v>39</v>
      </c>
      <c r="P173" s="133" t="s">
        <v>40</v>
      </c>
    </row>
    <row r="174" spans="2:19" s="45" customFormat="1" ht="12.45" customHeight="1" x14ac:dyDescent="0.35">
      <c r="B174" s="103">
        <v>9020050018</v>
      </c>
      <c r="C174" s="82"/>
      <c r="D174" s="82">
        <v>60</v>
      </c>
      <c r="E174" s="52"/>
      <c r="F174" s="52"/>
      <c r="G174" s="52"/>
      <c r="H174" s="52"/>
      <c r="I174" s="52"/>
      <c r="J174" s="52"/>
      <c r="K174" s="118"/>
      <c r="L174" s="141">
        <f>($S$3*M174*(100%+O174))</f>
        <v>0</v>
      </c>
      <c r="M174" s="143">
        <f>(N174*(100%+P174))</f>
        <v>6.1215000000000002</v>
      </c>
      <c r="N174" s="318">
        <v>5.83</v>
      </c>
      <c r="O174" s="126">
        <v>0.85</v>
      </c>
      <c r="P174" s="331">
        <v>0.05</v>
      </c>
      <c r="Q174" s="52"/>
      <c r="R174" s="53"/>
      <c r="S174" s="19"/>
    </row>
    <row r="175" spans="2:19" s="45" customFormat="1" ht="12.45" customHeight="1" x14ac:dyDescent="0.35">
      <c r="B175" s="103">
        <v>9020050019</v>
      </c>
      <c r="C175" s="82"/>
      <c r="D175" s="82">
        <v>80</v>
      </c>
      <c r="E175" s="52"/>
      <c r="F175" s="52"/>
      <c r="G175" s="52"/>
      <c r="H175" s="52"/>
      <c r="I175" s="52"/>
      <c r="J175" s="52"/>
      <c r="K175" s="118"/>
      <c r="L175" s="141">
        <f t="shared" ref="L175:L177" si="14">($S$3*M175*(100%+O175))</f>
        <v>0</v>
      </c>
      <c r="M175" s="143">
        <f>(N175*(100%+P175))</f>
        <v>4.5360000000000005</v>
      </c>
      <c r="N175" s="318">
        <v>4.32</v>
      </c>
      <c r="O175" s="126">
        <v>0.75</v>
      </c>
      <c r="P175" s="331">
        <v>0.05</v>
      </c>
    </row>
    <row r="176" spans="2:19" s="45" customFormat="1" ht="12.45" customHeight="1" x14ac:dyDescent="0.35">
      <c r="B176" s="103">
        <v>9020050020</v>
      </c>
      <c r="C176" s="82"/>
      <c r="D176" s="82">
        <v>100</v>
      </c>
      <c r="E176" s="52"/>
      <c r="F176" s="52"/>
      <c r="G176" s="52"/>
      <c r="H176" s="52"/>
      <c r="I176" s="52"/>
      <c r="J176" s="52"/>
      <c r="K176" s="118"/>
      <c r="L176" s="141">
        <f t="shared" si="14"/>
        <v>0</v>
      </c>
      <c r="M176" s="143">
        <f>(N176*(100%+P176))</f>
        <v>4.6305000000000005</v>
      </c>
      <c r="N176" s="318">
        <v>4.41</v>
      </c>
      <c r="O176" s="126">
        <v>0.75</v>
      </c>
      <c r="P176" s="331">
        <v>0.05</v>
      </c>
    </row>
    <row r="177" spans="2:20" s="117" customFormat="1" ht="12.45" customHeight="1" x14ac:dyDescent="0.35">
      <c r="B177" s="103">
        <v>9020050021</v>
      </c>
      <c r="C177" s="82"/>
      <c r="D177" s="82">
        <v>120</v>
      </c>
      <c r="E177" s="52"/>
      <c r="F177" s="52"/>
      <c r="G177" s="52"/>
      <c r="H177" s="52"/>
      <c r="I177" s="52"/>
      <c r="J177" s="52"/>
      <c r="K177" s="118"/>
      <c r="L177" s="141">
        <f t="shared" si="14"/>
        <v>0</v>
      </c>
      <c r="M177" s="143">
        <f>(N177*(100%+P177))</f>
        <v>5.6174999999999997</v>
      </c>
      <c r="N177" s="318">
        <v>5.35</v>
      </c>
      <c r="O177" s="126">
        <v>0.95</v>
      </c>
      <c r="P177" s="331">
        <v>0.05</v>
      </c>
    </row>
    <row r="178" spans="2:20" s="117" customFormat="1" ht="12.45" customHeight="1" x14ac:dyDescent="0.35">
      <c r="B178" s="82"/>
      <c r="C178" s="82"/>
      <c r="D178" s="82"/>
      <c r="E178" s="52"/>
      <c r="F178" s="52"/>
      <c r="G178" s="52"/>
      <c r="H178" s="52"/>
      <c r="I178" s="52"/>
      <c r="J178" s="52"/>
      <c r="K178" s="52"/>
      <c r="L178" s="147"/>
      <c r="M178" s="143"/>
      <c r="N178" s="264"/>
      <c r="O178" s="126"/>
      <c r="P178" s="107"/>
    </row>
    <row r="179" spans="2:20" s="117" customFormat="1" x14ac:dyDescent="0.35">
      <c r="B179" s="17" t="s">
        <v>640</v>
      </c>
      <c r="C179" s="18"/>
      <c r="D179" s="19"/>
      <c r="E179" s="19"/>
      <c r="F179" s="19"/>
      <c r="G179" s="19"/>
      <c r="H179" s="19"/>
      <c r="I179" s="19"/>
      <c r="J179" s="19"/>
      <c r="K179" s="19"/>
      <c r="L179" s="124"/>
      <c r="M179" s="143"/>
      <c r="N179" s="265"/>
      <c r="O179" s="126"/>
      <c r="P179" s="126"/>
    </row>
    <row r="180" spans="2:20" ht="12.45" customHeight="1" x14ac:dyDescent="0.35">
      <c r="L180" s="144"/>
      <c r="M180" s="143"/>
    </row>
    <row r="181" spans="2:20" ht="12.45" customHeight="1" x14ac:dyDescent="0.35">
      <c r="B181" s="26" t="s">
        <v>27</v>
      </c>
      <c r="C181" s="28"/>
      <c r="D181" s="26" t="s">
        <v>86</v>
      </c>
      <c r="E181" s="28"/>
      <c r="F181" s="39"/>
      <c r="G181" s="39"/>
      <c r="H181" s="74"/>
      <c r="I181" s="74"/>
      <c r="J181" s="74"/>
      <c r="K181" s="74"/>
      <c r="L181" s="131" t="s">
        <v>77</v>
      </c>
      <c r="M181" s="143"/>
      <c r="N181" s="139" t="s">
        <v>90</v>
      </c>
      <c r="O181" s="108" t="s">
        <v>39</v>
      </c>
      <c r="P181" s="133" t="s">
        <v>40</v>
      </c>
      <c r="Q181" s="133" t="s">
        <v>422</v>
      </c>
      <c r="R181" s="133" t="s">
        <v>30</v>
      </c>
    </row>
    <row r="182" spans="2:20" ht="12.45" customHeight="1" x14ac:dyDescent="0.35">
      <c r="B182" s="103">
        <v>9020050005</v>
      </c>
      <c r="C182" s="82"/>
      <c r="D182" s="82">
        <v>80</v>
      </c>
      <c r="E182" s="52"/>
      <c r="F182" s="88"/>
      <c r="G182" s="88"/>
      <c r="H182" s="88"/>
      <c r="I182" s="88"/>
      <c r="J182" s="88"/>
      <c r="K182" s="90"/>
      <c r="L182" s="141">
        <f>($S$3*M182*(100%+O182)*(100%+$R$4))</f>
        <v>0</v>
      </c>
      <c r="M182" s="143">
        <f>(N182*(100%+P182))</f>
        <v>18.46</v>
      </c>
      <c r="N182" s="105">
        <f>(Q182*(100%-R182))</f>
        <v>18.46</v>
      </c>
      <c r="O182" s="126">
        <v>0.97</v>
      </c>
      <c r="P182" s="331">
        <v>0</v>
      </c>
      <c r="Q182" s="365">
        <v>36.92</v>
      </c>
      <c r="R182" s="370">
        <v>0.5</v>
      </c>
    </row>
    <row r="183" spans="2:20" ht="12.45" customHeight="1" x14ac:dyDescent="0.35">
      <c r="B183" s="103">
        <v>9020050006</v>
      </c>
      <c r="C183" s="82"/>
      <c r="D183" s="82">
        <v>100</v>
      </c>
      <c r="E183" s="52"/>
      <c r="F183" s="52"/>
      <c r="G183" s="52"/>
      <c r="H183" s="52"/>
      <c r="I183" s="52"/>
      <c r="J183" s="52"/>
      <c r="K183" s="118"/>
      <c r="L183" s="141">
        <f>($S$3*M183*(100%+O183)*(100%+$R$4))</f>
        <v>0</v>
      </c>
      <c r="M183" s="143">
        <f>(N183*(100%+P183))</f>
        <v>20.190000000000001</v>
      </c>
      <c r="N183" s="105">
        <f t="shared" ref="N183" si="15">(Q183*(100%-R183))</f>
        <v>20.190000000000001</v>
      </c>
      <c r="O183" s="126">
        <v>1.02</v>
      </c>
      <c r="P183" s="331">
        <v>0</v>
      </c>
      <c r="Q183" s="365">
        <v>40.380000000000003</v>
      </c>
      <c r="R183" s="370">
        <v>0.5</v>
      </c>
    </row>
    <row r="184" spans="2:20" s="45" customFormat="1" ht="12.45" customHeight="1" x14ac:dyDescent="0.35">
      <c r="B184" s="103">
        <v>9020050007</v>
      </c>
      <c r="C184" s="82"/>
      <c r="D184" s="82">
        <v>120</v>
      </c>
      <c r="E184" s="52"/>
      <c r="F184" s="52"/>
      <c r="G184" s="52"/>
      <c r="H184" s="52"/>
      <c r="I184" s="52"/>
      <c r="J184" s="52"/>
      <c r="K184" s="118"/>
      <c r="L184" s="141">
        <f>($S$3*M184*(100%+O184)*(100%+$R$4))</f>
        <v>0</v>
      </c>
      <c r="M184" s="143">
        <f>(N184*(100%+P184))</f>
        <v>21.875</v>
      </c>
      <c r="N184" s="105">
        <f>(Q184*(100%-R184))</f>
        <v>21.875</v>
      </c>
      <c r="O184" s="126">
        <v>2</v>
      </c>
      <c r="P184" s="331">
        <v>0</v>
      </c>
      <c r="Q184" s="365">
        <v>43.75</v>
      </c>
      <c r="R184" s="370">
        <v>0.5</v>
      </c>
      <c r="S184" s="19"/>
    </row>
    <row r="185" spans="2:20" s="45" customFormat="1" ht="11.6" x14ac:dyDescent="0.35">
      <c r="B185" s="82"/>
      <c r="C185" s="82"/>
      <c r="D185" s="82"/>
      <c r="E185" s="52"/>
      <c r="F185" s="52"/>
      <c r="G185" s="52"/>
      <c r="H185" s="52"/>
      <c r="I185" s="52"/>
      <c r="J185" s="52"/>
      <c r="K185" s="52"/>
      <c r="L185" s="147"/>
      <c r="M185" s="143"/>
      <c r="N185" s="263"/>
      <c r="O185" s="126"/>
      <c r="P185" s="126"/>
    </row>
    <row r="186" spans="2:20" s="45" customFormat="1" ht="18.45" customHeight="1" x14ac:dyDescent="0.35">
      <c r="B186" s="82"/>
      <c r="C186" s="82"/>
      <c r="D186" s="82"/>
      <c r="E186" s="52"/>
      <c r="F186" s="52"/>
      <c r="G186" s="52"/>
      <c r="H186" s="52"/>
      <c r="I186" s="52"/>
      <c r="J186" s="52"/>
      <c r="K186" s="52"/>
      <c r="L186" s="147"/>
      <c r="M186" s="143"/>
      <c r="N186" s="263"/>
      <c r="O186" s="126"/>
      <c r="P186" s="126"/>
    </row>
    <row r="187" spans="2:20" x14ac:dyDescent="0.35">
      <c r="B187" s="17" t="s">
        <v>641</v>
      </c>
      <c r="L187" s="19"/>
      <c r="M187" s="143"/>
      <c r="O187" s="19"/>
      <c r="P187" s="19"/>
    </row>
    <row r="188" spans="2:20" ht="7.5" customHeight="1" x14ac:dyDescent="0.35">
      <c r="L188" s="19"/>
      <c r="M188" s="143"/>
      <c r="N188" s="263"/>
      <c r="O188" s="45"/>
      <c r="P188" s="45"/>
    </row>
    <row r="189" spans="2:20" s="45" customFormat="1" ht="11.6" x14ac:dyDescent="0.35">
      <c r="B189" s="26" t="s">
        <v>27</v>
      </c>
      <c r="C189" s="28"/>
      <c r="D189" s="26" t="s">
        <v>86</v>
      </c>
      <c r="E189" s="28"/>
      <c r="F189" s="39"/>
      <c r="G189" s="39"/>
      <c r="H189" s="74"/>
      <c r="I189" s="74"/>
      <c r="J189" s="74"/>
      <c r="K189" s="74"/>
      <c r="L189" s="131" t="s">
        <v>77</v>
      </c>
      <c r="M189" s="143"/>
      <c r="N189" s="139" t="s">
        <v>90</v>
      </c>
      <c r="O189" s="108" t="s">
        <v>39</v>
      </c>
      <c r="P189" s="133" t="s">
        <v>40</v>
      </c>
      <c r="S189" s="52"/>
      <c r="T189" s="53"/>
    </row>
    <row r="190" spans="2:20" s="45" customFormat="1" ht="11.6" x14ac:dyDescent="0.35">
      <c r="B190" s="103">
        <v>9020050024</v>
      </c>
      <c r="C190" s="82"/>
      <c r="D190" s="82">
        <v>100</v>
      </c>
      <c r="E190" s="52"/>
      <c r="F190" s="189" t="s">
        <v>824</v>
      </c>
      <c r="G190" s="88"/>
      <c r="H190" s="88"/>
      <c r="I190" s="88"/>
      <c r="J190" s="88"/>
      <c r="K190" s="90"/>
      <c r="L190" s="141">
        <f>($S$3*M190*(100%+O190)*(100%+$R$4))</f>
        <v>0</v>
      </c>
      <c r="M190" s="143">
        <f>(N190*(100%+P190))</f>
        <v>100.18080000000002</v>
      </c>
      <c r="N190" s="264">
        <v>92.76</v>
      </c>
      <c r="O190" s="126">
        <v>0.55435000000000001</v>
      </c>
      <c r="P190" s="331">
        <v>0.08</v>
      </c>
    </row>
    <row r="191" spans="2:20" s="45" customFormat="1" ht="4.3" customHeight="1" x14ac:dyDescent="0.35">
      <c r="B191" s="103"/>
      <c r="C191" s="82"/>
      <c r="D191" s="82"/>
      <c r="E191" s="52"/>
      <c r="F191" s="52"/>
      <c r="G191" s="52"/>
      <c r="H191" s="52"/>
      <c r="I191" s="52"/>
      <c r="J191" s="52"/>
      <c r="K191" s="52"/>
      <c r="L191" s="147"/>
      <c r="M191" s="143"/>
      <c r="N191" s="264"/>
      <c r="O191" s="107"/>
      <c r="P191" s="113"/>
      <c r="R191" s="19"/>
    </row>
    <row r="192" spans="2:20" s="120" customFormat="1" ht="2.6" customHeight="1" x14ac:dyDescent="0.35">
      <c r="B192" s="103"/>
      <c r="C192" s="82"/>
      <c r="D192" s="82"/>
      <c r="E192" s="52"/>
      <c r="F192" s="52"/>
      <c r="G192" s="52"/>
      <c r="H192" s="52"/>
      <c r="I192" s="52"/>
      <c r="J192" s="52"/>
      <c r="K192" s="52"/>
      <c r="L192" s="147"/>
      <c r="M192" s="143"/>
      <c r="N192" s="264"/>
      <c r="O192" s="107"/>
      <c r="P192" s="113"/>
      <c r="Q192" s="105"/>
      <c r="R192" s="117"/>
      <c r="S192" s="117"/>
      <c r="T192" s="117"/>
    </row>
    <row r="193" spans="2:20" x14ac:dyDescent="0.35">
      <c r="B193" s="17" t="s">
        <v>823</v>
      </c>
      <c r="L193" s="19"/>
      <c r="M193" s="143"/>
      <c r="O193" s="19"/>
      <c r="P193" s="19"/>
    </row>
    <row r="194" spans="2:20" ht="7.5" customHeight="1" x14ac:dyDescent="0.35">
      <c r="L194" s="19"/>
      <c r="M194" s="143"/>
      <c r="N194" s="263"/>
      <c r="O194" s="45"/>
      <c r="P194" s="45"/>
    </row>
    <row r="195" spans="2:20" s="45" customFormat="1" ht="11.6" x14ac:dyDescent="0.35">
      <c r="B195" s="26" t="s">
        <v>27</v>
      </c>
      <c r="C195" s="28"/>
      <c r="D195" s="26" t="s">
        <v>86</v>
      </c>
      <c r="E195" s="28"/>
      <c r="F195" s="39"/>
      <c r="G195" s="39"/>
      <c r="H195" s="74"/>
      <c r="I195" s="74"/>
      <c r="J195" s="74"/>
      <c r="K195" s="74"/>
      <c r="L195" s="131" t="s">
        <v>77</v>
      </c>
      <c r="M195" s="143"/>
      <c r="N195" s="139" t="s">
        <v>90</v>
      </c>
      <c r="O195" s="108" t="s">
        <v>39</v>
      </c>
      <c r="P195" s="133" t="s">
        <v>40</v>
      </c>
      <c r="S195" s="52"/>
      <c r="T195" s="53"/>
    </row>
    <row r="196" spans="2:20" s="45" customFormat="1" ht="11.6" x14ac:dyDescent="0.35">
      <c r="B196" s="103">
        <v>9020050026</v>
      </c>
      <c r="C196" s="82"/>
      <c r="D196" s="82">
        <v>100</v>
      </c>
      <c r="E196" s="52"/>
      <c r="F196" s="88"/>
      <c r="G196" s="88"/>
      <c r="H196" s="88"/>
      <c r="I196" s="88"/>
      <c r="J196" s="88"/>
      <c r="K196" s="90"/>
      <c r="L196" s="141">
        <f>($S$3*M196*(100%+O196)*(100%+$R$4))</f>
        <v>0</v>
      </c>
      <c r="M196" s="143">
        <f>(N196*(100%+P196))</f>
        <v>52.2</v>
      </c>
      <c r="N196" s="318">
        <v>52.2</v>
      </c>
      <c r="O196" s="126">
        <v>0.60550000000000004</v>
      </c>
      <c r="P196" s="331">
        <v>0</v>
      </c>
    </row>
    <row r="197" spans="2:20" s="117" customFormat="1" ht="12.45" customHeight="1" x14ac:dyDescent="0.35">
      <c r="B197" s="103">
        <v>9020050027</v>
      </c>
      <c r="C197" s="82"/>
      <c r="D197" s="82">
        <v>120</v>
      </c>
      <c r="E197" s="52"/>
      <c r="F197" s="88"/>
      <c r="G197" s="88"/>
      <c r="H197" s="88"/>
      <c r="I197" s="88"/>
      <c r="J197" s="88"/>
      <c r="K197" s="90"/>
      <c r="L197" s="141">
        <f>($S$3*M197*(100%+O197)*(100%+$R$4))</f>
        <v>0</v>
      </c>
      <c r="M197" s="143">
        <f>(N197*(100%+P197))</f>
        <v>55.6</v>
      </c>
      <c r="N197" s="318">
        <v>55.6</v>
      </c>
      <c r="O197" s="126">
        <v>0.6</v>
      </c>
      <c r="P197" s="331">
        <v>0</v>
      </c>
      <c r="Q197" s="105"/>
    </row>
    <row r="198" spans="2:20" s="117" customFormat="1" ht="24" customHeight="1" x14ac:dyDescent="0.35">
      <c r="B198" s="103"/>
      <c r="C198" s="82"/>
      <c r="D198" s="82"/>
      <c r="E198" s="52"/>
      <c r="F198" s="52"/>
      <c r="G198" s="52"/>
      <c r="H198" s="52"/>
      <c r="I198" s="52"/>
      <c r="J198" s="52"/>
      <c r="K198" s="106"/>
      <c r="L198" s="106"/>
      <c r="M198" s="143"/>
      <c r="N198" s="264"/>
      <c r="P198" s="113"/>
      <c r="Q198" s="105"/>
    </row>
    <row r="199" spans="2:20" s="45" customFormat="1" x14ac:dyDescent="0.35">
      <c r="B199" s="17" t="s">
        <v>642</v>
      </c>
      <c r="C199" s="18"/>
      <c r="D199" s="19"/>
      <c r="E199" s="19"/>
      <c r="F199" s="19"/>
      <c r="G199" s="19"/>
      <c r="H199" s="19"/>
      <c r="I199" s="19"/>
      <c r="J199" s="19"/>
      <c r="K199" s="19"/>
      <c r="L199" s="124"/>
      <c r="M199" s="143"/>
      <c r="N199" s="265"/>
      <c r="O199" s="126"/>
      <c r="P199" s="126"/>
    </row>
    <row r="200" spans="2:20" s="117" customFormat="1" ht="12.45" customHeight="1" x14ac:dyDescent="0.35">
      <c r="B200" s="17"/>
      <c r="C200" s="18"/>
      <c r="D200" s="19"/>
      <c r="E200" s="19"/>
      <c r="F200" s="19"/>
      <c r="G200" s="19"/>
      <c r="H200" s="19"/>
      <c r="I200" s="19"/>
      <c r="J200" s="19"/>
      <c r="K200" s="19"/>
      <c r="L200" s="144"/>
      <c r="M200" s="143"/>
      <c r="N200" s="265"/>
      <c r="O200" s="126"/>
      <c r="P200" s="126"/>
    </row>
    <row r="201" spans="2:20" ht="12.45" customHeight="1" x14ac:dyDescent="0.35">
      <c r="B201" s="82" t="s">
        <v>27</v>
      </c>
      <c r="C201" s="82"/>
      <c r="D201" s="52" t="s">
        <v>86</v>
      </c>
      <c r="E201" s="52"/>
      <c r="F201" s="52"/>
      <c r="G201" s="52"/>
      <c r="H201" s="52"/>
      <c r="I201" s="52"/>
      <c r="J201" s="52"/>
      <c r="K201" s="52"/>
      <c r="L201" s="147" t="s">
        <v>77</v>
      </c>
      <c r="M201" s="143"/>
      <c r="N201" s="139" t="s">
        <v>90</v>
      </c>
      <c r="O201" s="108" t="s">
        <v>39</v>
      </c>
      <c r="P201" s="133" t="s">
        <v>40</v>
      </c>
      <c r="Q201" s="133" t="s">
        <v>422</v>
      </c>
      <c r="R201" s="133" t="s">
        <v>30</v>
      </c>
    </row>
    <row r="202" spans="2:20" ht="12.45" customHeight="1" x14ac:dyDescent="0.35">
      <c r="B202" s="103">
        <v>9020050008</v>
      </c>
      <c r="C202" s="82"/>
      <c r="D202" s="82">
        <v>100</v>
      </c>
      <c r="E202" s="52"/>
      <c r="F202" s="52"/>
      <c r="G202" s="52"/>
      <c r="H202" s="52"/>
      <c r="I202" s="52"/>
      <c r="J202" s="52"/>
      <c r="K202" s="118"/>
      <c r="L202" s="141">
        <f>($S$3*M202*(100%+O202)*(100%+$R$4))</f>
        <v>0</v>
      </c>
      <c r="M202" s="143">
        <f>(N202*(100%+P202))</f>
        <v>85.377600000000001</v>
      </c>
      <c r="N202" s="105">
        <f>(Q202*(100%-R202))</f>
        <v>85.377600000000001</v>
      </c>
      <c r="O202" s="126">
        <v>0.75</v>
      </c>
      <c r="P202" s="331">
        <v>0</v>
      </c>
      <c r="Q202" s="365">
        <v>145.19999999999999</v>
      </c>
      <c r="R202" s="370">
        <v>0.41199999999999998</v>
      </c>
    </row>
    <row r="203" spans="2:20" x14ac:dyDescent="0.35">
      <c r="M203" s="143"/>
      <c r="N203" s="263"/>
    </row>
    <row r="204" spans="2:20" ht="11.9" customHeight="1" x14ac:dyDescent="0.35">
      <c r="M204" s="143"/>
      <c r="N204" s="263"/>
    </row>
    <row r="205" spans="2:20" s="45" customFormat="1" x14ac:dyDescent="0.35">
      <c r="B205" s="17" t="s">
        <v>643</v>
      </c>
      <c r="C205" s="18"/>
      <c r="D205" s="19"/>
      <c r="E205" s="19"/>
      <c r="F205" s="19"/>
      <c r="G205" s="19"/>
      <c r="H205" s="19"/>
      <c r="I205" s="19"/>
      <c r="J205" s="19"/>
      <c r="K205" s="19"/>
      <c r="L205" s="124"/>
      <c r="M205" s="143"/>
      <c r="N205" s="263"/>
      <c r="O205" s="126"/>
      <c r="P205" s="126"/>
      <c r="Q205" s="52"/>
      <c r="R205" s="53"/>
      <c r="S205" s="19"/>
    </row>
    <row r="206" spans="2:20" s="45" customFormat="1" x14ac:dyDescent="0.35">
      <c r="B206" s="17"/>
      <c r="C206" s="18"/>
      <c r="D206" s="19"/>
      <c r="E206" s="19"/>
      <c r="F206" s="19"/>
      <c r="G206" s="19"/>
      <c r="H206" s="19"/>
      <c r="I206" s="19"/>
      <c r="J206" s="19"/>
      <c r="K206" s="19"/>
      <c r="L206" s="144"/>
      <c r="M206" s="143"/>
      <c r="N206" s="263"/>
      <c r="O206" s="126"/>
      <c r="P206" s="126"/>
    </row>
    <row r="207" spans="2:20" ht="12.45" customHeight="1" x14ac:dyDescent="0.35">
      <c r="B207" s="82" t="s">
        <v>27</v>
      </c>
      <c r="C207" s="82"/>
      <c r="D207" s="52" t="s">
        <v>86</v>
      </c>
      <c r="E207" s="52"/>
      <c r="F207" s="52"/>
      <c r="G207" s="52"/>
      <c r="H207" s="52"/>
      <c r="I207" s="52"/>
      <c r="J207" s="52"/>
      <c r="K207" s="52"/>
      <c r="L207" s="147" t="s">
        <v>77</v>
      </c>
      <c r="M207" s="143"/>
      <c r="N207" s="139" t="s">
        <v>90</v>
      </c>
      <c r="O207" s="108" t="s">
        <v>39</v>
      </c>
      <c r="P207" s="133" t="s">
        <v>40</v>
      </c>
      <c r="Q207" s="133" t="s">
        <v>422</v>
      </c>
      <c r="R207" s="133" t="s">
        <v>30</v>
      </c>
    </row>
    <row r="208" spans="2:20" ht="12.45" customHeight="1" x14ac:dyDescent="0.35">
      <c r="B208" s="103">
        <v>9020050017</v>
      </c>
      <c r="C208" s="82" t="s">
        <v>180</v>
      </c>
      <c r="D208" s="82"/>
      <c r="E208" s="52"/>
      <c r="F208" s="52"/>
      <c r="G208" s="52"/>
      <c r="H208" s="52"/>
      <c r="I208" s="52"/>
      <c r="J208" s="52"/>
      <c r="K208" s="118"/>
      <c r="L208" s="141">
        <f>($S$3*M208*(100%+O208)*(100%+$R$4))</f>
        <v>0</v>
      </c>
      <c r="M208" s="143">
        <f>(N208*(100%+P208))</f>
        <v>2.1949999999999998</v>
      </c>
      <c r="N208" s="105">
        <f>(Q208*(100%-R208))</f>
        <v>2.1949999999999998</v>
      </c>
      <c r="O208" s="126">
        <v>1.08</v>
      </c>
      <c r="P208" s="331">
        <v>0</v>
      </c>
      <c r="Q208" s="365">
        <v>4.3899999999999997</v>
      </c>
      <c r="R208" s="370">
        <v>0.5</v>
      </c>
    </row>
    <row r="209" spans="2:19" ht="12.45" customHeight="1" x14ac:dyDescent="0.35">
      <c r="B209" s="103">
        <v>9020050016</v>
      </c>
      <c r="C209" s="82" t="s">
        <v>181</v>
      </c>
      <c r="D209" s="82"/>
      <c r="E209" s="52"/>
      <c r="F209" s="52"/>
      <c r="G209" s="52"/>
      <c r="H209" s="52"/>
      <c r="I209" s="52"/>
      <c r="J209" s="52"/>
      <c r="K209" s="118"/>
      <c r="L209" s="141">
        <f>($S$3*M209*(100%+O209)*(100%+$R$4))</f>
        <v>0</v>
      </c>
      <c r="M209" s="143">
        <f>(N209*(100%+P209))</f>
        <v>2.1949999999999998</v>
      </c>
      <c r="N209" s="105">
        <f t="shared" ref="N209:N210" si="16">(Q209*(100%-R209))</f>
        <v>2.1949999999999998</v>
      </c>
      <c r="O209" s="126">
        <v>1.08</v>
      </c>
      <c r="P209" s="331">
        <v>0</v>
      </c>
      <c r="Q209" s="365">
        <v>4.3899999999999997</v>
      </c>
      <c r="R209" s="370">
        <v>0.5</v>
      </c>
    </row>
    <row r="210" spans="2:19" s="45" customFormat="1" ht="12.45" customHeight="1" x14ac:dyDescent="0.35">
      <c r="B210" s="87"/>
      <c r="C210" s="100" t="s">
        <v>69</v>
      </c>
      <c r="D210" s="100"/>
      <c r="E210" s="88"/>
      <c r="F210" s="88"/>
      <c r="G210" s="88"/>
      <c r="H210" s="88"/>
      <c r="I210" s="88"/>
      <c r="J210" s="88"/>
      <c r="K210" s="90"/>
      <c r="L210" s="145">
        <f>($S$3*M210*(100%+O210)*(100%+$R$4))</f>
        <v>0</v>
      </c>
      <c r="M210" s="143">
        <f>(N210*(100%+P210))</f>
        <v>4.1042400000000008</v>
      </c>
      <c r="N210" s="105">
        <f t="shared" si="16"/>
        <v>4.1042400000000008</v>
      </c>
      <c r="O210" s="126">
        <v>1.23</v>
      </c>
      <c r="P210" s="331">
        <v>0</v>
      </c>
      <c r="Q210" s="365">
        <v>6.98</v>
      </c>
      <c r="R210" s="370">
        <v>0.41199999999999998</v>
      </c>
      <c r="S210" s="19"/>
    </row>
    <row r="211" spans="2:19" s="45" customFormat="1" ht="6.25" customHeight="1" x14ac:dyDescent="0.35">
      <c r="B211" s="87"/>
      <c r="C211" s="100"/>
      <c r="D211" s="100"/>
      <c r="E211" s="88"/>
      <c r="F211" s="88"/>
      <c r="G211" s="88"/>
      <c r="H211" s="88"/>
      <c r="I211" s="88"/>
      <c r="J211" s="88"/>
      <c r="K211" s="88"/>
      <c r="L211" s="187"/>
      <c r="M211" s="143"/>
      <c r="N211" s="264"/>
      <c r="O211" s="126"/>
      <c r="P211" s="331"/>
      <c r="Q211" s="52"/>
      <c r="R211" s="53"/>
      <c r="S211" s="19"/>
    </row>
    <row r="212" spans="2:19" s="45" customFormat="1" ht="6.25" customHeight="1" x14ac:dyDescent="0.35">
      <c r="B212" s="87"/>
      <c r="C212" s="100"/>
      <c r="D212" s="100"/>
      <c r="E212" s="88"/>
      <c r="F212" s="88"/>
      <c r="G212" s="88"/>
      <c r="H212" s="88"/>
      <c r="I212" s="88"/>
      <c r="J212" s="88"/>
      <c r="K212" s="88"/>
      <c r="L212" s="187"/>
      <c r="M212" s="143"/>
      <c r="N212" s="264"/>
      <c r="O212" s="126"/>
      <c r="P212" s="331"/>
      <c r="Q212" s="52"/>
      <c r="R212" s="53"/>
      <c r="S212" s="19"/>
    </row>
    <row r="213" spans="2:19" x14ac:dyDescent="0.35">
      <c r="B213" s="17" t="s">
        <v>766</v>
      </c>
      <c r="L213" s="19"/>
      <c r="M213" s="143"/>
      <c r="N213" s="19"/>
      <c r="O213" s="19"/>
      <c r="P213" s="18"/>
      <c r="Q213" s="18"/>
    </row>
    <row r="214" spans="2:19" x14ac:dyDescent="0.35">
      <c r="L214" s="45"/>
      <c r="M214" s="143"/>
      <c r="N214" s="44"/>
      <c r="O214" s="44"/>
      <c r="P214" s="45"/>
    </row>
    <row r="215" spans="2:19" s="45" customFormat="1" ht="11.6" x14ac:dyDescent="0.35">
      <c r="B215" s="26" t="s">
        <v>27</v>
      </c>
      <c r="C215" s="28"/>
      <c r="D215" s="39" t="s">
        <v>86</v>
      </c>
      <c r="E215" s="28"/>
      <c r="F215" s="23"/>
      <c r="G215" s="70"/>
      <c r="H215" s="70"/>
      <c r="I215" s="70"/>
      <c r="J215" s="70"/>
      <c r="K215" s="70"/>
      <c r="L215" s="78" t="s">
        <v>77</v>
      </c>
      <c r="M215" s="143"/>
      <c r="N215" s="42" t="s">
        <v>90</v>
      </c>
      <c r="O215" s="133" t="s">
        <v>39</v>
      </c>
      <c r="P215" s="133" t="s">
        <v>40</v>
      </c>
    </row>
    <row r="216" spans="2:19" s="117" customFormat="1" ht="12.65" customHeight="1" x14ac:dyDescent="0.35">
      <c r="B216" s="103">
        <v>9020050025</v>
      </c>
      <c r="C216" s="82" t="s">
        <v>64</v>
      </c>
      <c r="D216" s="82"/>
      <c r="E216" s="52"/>
      <c r="F216" s="52"/>
      <c r="G216" s="52"/>
      <c r="H216" s="52"/>
      <c r="I216" s="52"/>
      <c r="J216" s="52"/>
      <c r="K216" s="118"/>
      <c r="L216" s="102">
        <f>($S$3*M216*(100%+O216)*(100%+$R$4))</f>
        <v>0</v>
      </c>
      <c r="M216" s="143">
        <f>(N216*(100%+P216))</f>
        <v>28.263600000000004</v>
      </c>
      <c r="N216" s="318">
        <v>26.17</v>
      </c>
      <c r="O216" s="296">
        <v>0.57150000000000001</v>
      </c>
      <c r="P216" s="331">
        <v>0.08</v>
      </c>
    </row>
    <row r="217" spans="2:19" s="45" customFormat="1" ht="12.45" customHeight="1" x14ac:dyDescent="0.35">
      <c r="B217" s="17"/>
      <c r="C217" s="18"/>
      <c r="D217" s="19"/>
      <c r="E217" s="19"/>
      <c r="F217" s="19"/>
      <c r="G217" s="19"/>
      <c r="H217" s="19"/>
      <c r="I217" s="19"/>
      <c r="J217" s="19"/>
      <c r="K217" s="19"/>
      <c r="L217" s="124"/>
      <c r="M217" s="125"/>
      <c r="N217" s="265"/>
      <c r="O217" s="126"/>
      <c r="P217" s="126"/>
    </row>
    <row r="218" spans="2:19" s="92" customFormat="1" ht="12.45" customHeight="1" x14ac:dyDescent="0.35">
      <c r="B218" s="17"/>
      <c r="C218" s="18"/>
      <c r="D218" s="19"/>
      <c r="E218" s="19"/>
      <c r="F218" s="19"/>
      <c r="G218" s="19"/>
      <c r="H218" s="19"/>
      <c r="I218" s="19"/>
      <c r="J218" s="19"/>
      <c r="K218" s="19"/>
      <c r="L218" s="124"/>
      <c r="M218" s="125"/>
      <c r="N218" s="265"/>
      <c r="O218" s="126"/>
      <c r="P218" s="126"/>
    </row>
    <row r="219" spans="2:19" s="117" customFormat="1" ht="12.45" customHeight="1" x14ac:dyDescent="0.35">
      <c r="B219" s="17"/>
      <c r="C219" s="18"/>
      <c r="D219" s="19"/>
      <c r="E219" s="19"/>
      <c r="F219" s="19"/>
      <c r="G219" s="19"/>
      <c r="H219" s="19"/>
      <c r="I219" s="19"/>
      <c r="J219" s="19"/>
      <c r="K219" s="19"/>
      <c r="L219" s="124"/>
      <c r="M219" s="125"/>
      <c r="N219" s="265"/>
      <c r="O219" s="126"/>
      <c r="P219" s="126"/>
    </row>
    <row r="220" spans="2:19" s="117" customFormat="1" ht="12.45" customHeight="1" x14ac:dyDescent="0.35">
      <c r="B220" s="17"/>
      <c r="C220" s="18"/>
      <c r="D220" s="19"/>
      <c r="E220" s="19"/>
      <c r="F220" s="19"/>
      <c r="G220" s="19"/>
      <c r="H220" s="19"/>
      <c r="I220" s="19"/>
      <c r="J220" s="19"/>
      <c r="K220" s="19"/>
      <c r="L220" s="124"/>
      <c r="M220" s="125"/>
      <c r="N220" s="265"/>
      <c r="O220" s="126"/>
      <c r="P220" s="126"/>
    </row>
    <row r="221" spans="2:19" s="117" customFormat="1" ht="12.45" customHeight="1" x14ac:dyDescent="0.35">
      <c r="B221" s="17"/>
      <c r="C221" s="18"/>
      <c r="D221" s="19"/>
      <c r="E221" s="19"/>
      <c r="F221" s="19"/>
      <c r="G221" s="19"/>
      <c r="H221" s="19"/>
      <c r="I221" s="19"/>
      <c r="J221" s="19"/>
      <c r="K221" s="19"/>
      <c r="L221" s="124"/>
      <c r="M221" s="125"/>
      <c r="N221" s="265"/>
      <c r="O221" s="126"/>
      <c r="P221" s="126"/>
    </row>
    <row r="222" spans="2:19" s="120" customFormat="1" ht="12.45" customHeight="1" x14ac:dyDescent="0.35">
      <c r="B222" s="17"/>
      <c r="C222" s="18"/>
      <c r="D222" s="19"/>
      <c r="E222" s="19"/>
      <c r="F222" s="19"/>
      <c r="G222" s="19"/>
      <c r="H222" s="19"/>
      <c r="I222" s="19"/>
      <c r="J222" s="19"/>
      <c r="K222" s="19"/>
      <c r="L222" s="124"/>
      <c r="M222" s="125"/>
      <c r="N222" s="265"/>
      <c r="O222" s="126"/>
      <c r="P222" s="126"/>
    </row>
  </sheetData>
  <sheetProtection algorithmName="SHA-512" hashValue="08SkPF3UCnrxSLs0ozl6iYb8+FBM86MsLjR88XIYEsRufBsizW8kkOKG7grTqZ0LpTJ5WuVgmQv+r/ydgkoV3w==" saltValue="nta8kwJqA1woFNeDPe3t0Q==" spinCount="100000" sheet="1" objects="1" scenarios="1"/>
  <conditionalFormatting sqref="B190:L190">
    <cfRule type="expression" dxfId="262" priority="7">
      <formula>MOD(ROW(),2)=0</formula>
    </cfRule>
  </conditionalFormatting>
  <conditionalFormatting sqref="B6:M13 B18:L20 B26:L29 B34:J36 C36:D38 B37:K38 M43:M57 B46:L48 B54:L57 M65:M69 B68:L69 M74:M168 B78:L78 B79:M84 B90:L93 B98:L101 B106:L109 B114:L117 B122:L124 B130:L133 B136:L139 B142:L143 B148:L150 B162:L168 B174:M177 B182:L184 B202:L202 B208:L210 B216:L216 M178:M216">
    <cfRule type="expression" dxfId="261" priority="69">
      <formula>MOD(ROW(),2)=0</formula>
    </cfRule>
  </conditionalFormatting>
  <conditionalFormatting sqref="B72:M73">
    <cfRule type="expression" dxfId="260" priority="3">
      <formula>MOD(ROW(),2)=0</formula>
    </cfRule>
  </conditionalFormatting>
  <conditionalFormatting sqref="C6">
    <cfRule type="expression" dxfId="259" priority="36">
      <formula>MOD(ROW(),2)=0</formula>
    </cfRule>
  </conditionalFormatting>
  <conditionalFormatting sqref="C18">
    <cfRule type="expression" dxfId="258" priority="31">
      <formula>MOD(ROW(),2)=0</formula>
    </cfRule>
  </conditionalFormatting>
  <conditionalFormatting sqref="C26">
    <cfRule type="expression" dxfId="257" priority="28">
      <formula>MOD(ROW(),2)=0</formula>
    </cfRule>
  </conditionalFormatting>
  <conditionalFormatting sqref="C34:C35">
    <cfRule type="expression" dxfId="256" priority="66">
      <formula>MOD(ROW(),2)=0</formula>
    </cfRule>
  </conditionalFormatting>
  <conditionalFormatting sqref="C46">
    <cfRule type="expression" dxfId="255" priority="40">
      <formula>MOD(ROW(),2)=0</formula>
    </cfRule>
  </conditionalFormatting>
  <conditionalFormatting sqref="C7:D13">
    <cfRule type="expression" dxfId="254" priority="37">
      <formula>MOD(ROW(),2)=0</formula>
    </cfRule>
  </conditionalFormatting>
  <conditionalFormatting sqref="C19:D20">
    <cfRule type="expression" dxfId="253" priority="32">
      <formula>MOD(ROW(),2)=0</formula>
    </cfRule>
  </conditionalFormatting>
  <conditionalFormatting sqref="C27:D29">
    <cfRule type="expression" dxfId="252" priority="29">
      <formula>MOD(ROW(),2)=0</formula>
    </cfRule>
  </conditionalFormatting>
  <conditionalFormatting sqref="K34:L34 K35:K36 L35:L38">
    <cfRule type="expression" dxfId="251" priority="27">
      <formula>MOD(ROW(),2)=0</formula>
    </cfRule>
  </conditionalFormatting>
  <conditionalFormatting sqref="M14:M40 B60:M63">
    <cfRule type="expression" dxfId="250" priority="38">
      <formula>MOD(ROW(),2)=0</formula>
    </cfRule>
  </conditionalFormatting>
  <conditionalFormatting sqref="B196:L197">
    <cfRule type="expression" dxfId="249" priority="1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88" orientation="portrait" r:id="rId1"/>
  <headerFooter>
    <oddHeader>&amp;L&amp;G&amp;R&amp;"Century Gothic,Fett"&amp;16&amp;A</oddHeader>
  </headerFooter>
  <rowBreaks count="2" manualBreakCount="2">
    <brk id="50" max="16383" man="1"/>
    <brk id="158" max="11" man="1"/>
  </rowBreaks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2" tint="-0.499984740745262"/>
  </sheetPr>
  <dimension ref="B1:Y279"/>
  <sheetViews>
    <sheetView showGridLines="0" view="pageBreakPreview" topLeftCell="A196" zoomScaleNormal="100" zoomScaleSheetLayoutView="100" workbookViewId="0">
      <selection activeCell="B1" sqref="B1"/>
    </sheetView>
  </sheetViews>
  <sheetFormatPr baseColWidth="10" defaultColWidth="11.25" defaultRowHeight="18" outlineLevelRow="1" outlineLevelCol="1" x14ac:dyDescent="0.35"/>
  <cols>
    <col min="1" max="1" width="12.875" style="19" customWidth="1"/>
    <col min="2" max="2" width="8.75" style="17" customWidth="1"/>
    <col min="3" max="3" width="1.25" style="18" customWidth="1"/>
    <col min="4" max="5" width="4.75" style="19" customWidth="1"/>
    <col min="6" max="6" width="11.75" style="19" customWidth="1"/>
    <col min="7" max="7" width="0.125" style="19" customWidth="1"/>
    <col min="8" max="8" width="4.75" style="19" customWidth="1"/>
    <col min="9" max="9" width="2.25" style="19" customWidth="1"/>
    <col min="10" max="14" width="4.75" style="19" customWidth="1"/>
    <col min="15" max="15" width="4.75" style="19" hidden="1" customWidth="1" outlineLevel="1"/>
    <col min="16" max="16" width="5.25" style="19" hidden="1" customWidth="1" outlineLevel="1"/>
    <col min="17" max="17" width="8" style="19" hidden="1" customWidth="1" outlineLevel="1"/>
    <col min="18" max="18" width="7.25" style="19" hidden="1" customWidth="1" outlineLevel="1"/>
    <col min="19" max="19" width="13.125" style="19" hidden="1" customWidth="1" outlineLevel="1"/>
    <col min="20" max="20" width="11.25" style="19" hidden="1" customWidth="1" outlineLevel="1"/>
    <col min="21" max="21" width="2.25" style="19" hidden="1" customWidth="1" outlineLevel="1"/>
    <col min="22" max="22" width="21" style="19" hidden="1" customWidth="1" outlineLevel="1"/>
    <col min="23" max="24" width="11.25" style="19" hidden="1" customWidth="1" outlineLevel="1"/>
    <col min="25" max="25" width="11.25" style="19" collapsed="1"/>
    <col min="26" max="16384" width="11.25" style="19"/>
  </cols>
  <sheetData>
    <row r="1" spans="2:24" ht="18.45" thickBot="1" x14ac:dyDescent="0.4">
      <c r="B1" s="17" t="s">
        <v>71</v>
      </c>
      <c r="N1" s="20" t="s">
        <v>4</v>
      </c>
      <c r="O1" s="21"/>
      <c r="P1" s="21"/>
      <c r="Q1" s="262"/>
      <c r="R1" s="262" t="s">
        <v>23</v>
      </c>
      <c r="S1" s="266" t="s">
        <v>24</v>
      </c>
      <c r="T1" s="277">
        <v>24</v>
      </c>
      <c r="U1" s="265">
        <f>(1-T4)*(1+T5)</f>
        <v>0</v>
      </c>
      <c r="V1" s="266" t="s">
        <v>48</v>
      </c>
      <c r="W1" s="277">
        <v>49</v>
      </c>
    </row>
    <row r="2" spans="2:24" ht="18.45" thickBot="1" x14ac:dyDescent="0.4">
      <c r="L2" s="20"/>
      <c r="N2" s="21"/>
      <c r="R2" s="265"/>
      <c r="S2" s="266" t="s">
        <v>25</v>
      </c>
      <c r="T2" s="277">
        <v>14</v>
      </c>
      <c r="U2" s="265"/>
      <c r="V2" s="265"/>
      <c r="W2" s="265"/>
    </row>
    <row r="3" spans="2:24" ht="18.45" thickBot="1" x14ac:dyDescent="0.4">
      <c r="F3" s="23"/>
      <c r="G3" s="24"/>
      <c r="H3" s="150" t="s">
        <v>644</v>
      </c>
      <c r="I3" s="25"/>
      <c r="J3" s="25"/>
      <c r="K3" s="25" t="s">
        <v>263</v>
      </c>
      <c r="L3" s="25"/>
      <c r="M3" s="25" t="s">
        <v>261</v>
      </c>
      <c r="N3" s="25" t="s">
        <v>262</v>
      </c>
      <c r="O3" s="26"/>
      <c r="P3" s="26"/>
      <c r="Q3" s="26"/>
      <c r="R3" s="263"/>
      <c r="S3" s="266" t="s">
        <v>41</v>
      </c>
      <c r="T3" s="277">
        <v>99</v>
      </c>
      <c r="U3" s="265"/>
      <c r="V3" s="265"/>
      <c r="W3" s="265"/>
    </row>
    <row r="4" spans="2:24" s="26" customFormat="1" ht="29.15" customHeight="1" thickBot="1" x14ac:dyDescent="0.4">
      <c r="B4" s="27" t="s">
        <v>0</v>
      </c>
      <c r="C4" s="28"/>
      <c r="D4" s="27"/>
      <c r="E4" s="27"/>
      <c r="G4" s="151"/>
      <c r="H4" s="77"/>
      <c r="I4" s="151"/>
      <c r="J4" s="29" t="s">
        <v>32</v>
      </c>
      <c r="K4" s="31" t="s">
        <v>12</v>
      </c>
      <c r="L4" s="29" t="s">
        <v>33</v>
      </c>
      <c r="M4" s="30" t="s">
        <v>13</v>
      </c>
      <c r="N4" s="30" t="s">
        <v>14</v>
      </c>
      <c r="R4" s="263"/>
      <c r="S4" s="268" t="s">
        <v>30</v>
      </c>
      <c r="T4" s="269">
        <f>Inhaltsverzeichnis!K17</f>
        <v>1</v>
      </c>
      <c r="U4" s="263"/>
      <c r="V4" s="263"/>
      <c r="W4" s="263"/>
    </row>
    <row r="5" spans="2:24" s="26" customFormat="1" ht="12" thickBot="1" x14ac:dyDescent="0.4">
      <c r="B5" s="27" t="s">
        <v>5</v>
      </c>
      <c r="C5" s="28"/>
      <c r="D5" s="27"/>
      <c r="E5" s="27"/>
      <c r="G5" s="152"/>
      <c r="H5" s="23"/>
      <c r="I5" s="152"/>
      <c r="J5" s="34">
        <v>0.65</v>
      </c>
      <c r="K5" s="153">
        <v>0.65</v>
      </c>
      <c r="L5" s="34">
        <v>0.7</v>
      </c>
      <c r="M5" s="36">
        <v>0.7</v>
      </c>
      <c r="N5" s="36">
        <v>0.7</v>
      </c>
      <c r="R5" s="263"/>
      <c r="S5" s="266" t="s">
        <v>31</v>
      </c>
      <c r="T5" s="270">
        <v>0</v>
      </c>
      <c r="U5" s="263"/>
      <c r="V5" s="263"/>
      <c r="W5" s="263"/>
    </row>
    <row r="6" spans="2:24" s="26" customFormat="1" ht="11.6" x14ac:dyDescent="0.35">
      <c r="B6" s="39"/>
      <c r="C6" s="28"/>
      <c r="D6" s="27"/>
      <c r="E6" s="27"/>
      <c r="G6" s="154"/>
      <c r="H6" s="154"/>
      <c r="I6" s="154"/>
      <c r="J6" s="40">
        <f>(9.4/2)*0.2</f>
        <v>0.94000000000000006</v>
      </c>
      <c r="K6" s="40">
        <f>(9.4/2)*0.25</f>
        <v>1.175</v>
      </c>
      <c r="L6" s="40">
        <f>(10.1/2)*0.28</f>
        <v>1.4140000000000001</v>
      </c>
      <c r="M6" s="41">
        <f>(10.1/2)*0.33</f>
        <v>1.6665000000000001</v>
      </c>
      <c r="N6" s="41">
        <f>(12.6/2)*0.4</f>
        <v>2.52</v>
      </c>
      <c r="S6" s="42"/>
      <c r="T6" s="43"/>
    </row>
    <row r="7" spans="2:24" s="45" customFormat="1" ht="11.6" x14ac:dyDescent="0.35">
      <c r="B7" s="26" t="s">
        <v>78</v>
      </c>
      <c r="C7" s="44"/>
      <c r="G7" s="155"/>
      <c r="H7" s="155"/>
      <c r="I7" s="155"/>
      <c r="J7" s="46">
        <v>0.71</v>
      </c>
      <c r="K7" s="46">
        <v>0.62</v>
      </c>
      <c r="L7" s="46">
        <v>0.66</v>
      </c>
      <c r="M7" s="46">
        <v>0.54</v>
      </c>
      <c r="N7" s="46">
        <v>0.49</v>
      </c>
      <c r="U7" s="26"/>
    </row>
    <row r="8" spans="2:24" s="45" customFormat="1" ht="12.45" hidden="1" customHeight="1" outlineLevel="1" x14ac:dyDescent="0.35">
      <c r="B8" s="23">
        <v>201</v>
      </c>
      <c r="C8" s="42" t="s">
        <v>21</v>
      </c>
      <c r="D8" s="48">
        <f t="shared" ref="D8:D15" si="0">B8+$T$8</f>
        <v>225</v>
      </c>
      <c r="G8" s="156"/>
      <c r="H8" s="157"/>
      <c r="I8" s="156"/>
      <c r="J8" s="49">
        <f t="shared" ref="J8:J15" si="1">$U$1*($J$6*D8/100)/(100%-$J$7)</f>
        <v>0</v>
      </c>
      <c r="K8" s="51">
        <f t="shared" ref="K8:K15" si="2">$U$1*($K$6*D8/100)/(100%-$K$7)</f>
        <v>0</v>
      </c>
      <c r="L8" s="49">
        <f t="shared" ref="L8:L15" si="3">$U$1*($L$6*D8/100)/(100%-$L$7)</f>
        <v>0</v>
      </c>
      <c r="M8" s="50">
        <f t="shared" ref="M8:M15" si="4">$U$1*($M$6*D8/100)/(100%-$M$7)</f>
        <v>0</v>
      </c>
      <c r="N8" s="50">
        <f t="shared" ref="N8:N15" si="5">$U$1*($N$6*D8/100)/(100%-$N$7)</f>
        <v>0</v>
      </c>
      <c r="S8" s="52" t="s">
        <v>22</v>
      </c>
      <c r="T8" s="53">
        <f>T1</f>
        <v>24</v>
      </c>
    </row>
    <row r="9" spans="2:24" s="45" customFormat="1" ht="12.45" hidden="1" customHeight="1" outlineLevel="1" x14ac:dyDescent="0.35">
      <c r="B9" s="23">
        <f>D8+1</f>
        <v>226</v>
      </c>
      <c r="C9" s="42" t="s">
        <v>21</v>
      </c>
      <c r="D9" s="23">
        <f t="shared" si="0"/>
        <v>250</v>
      </c>
      <c r="G9" s="156"/>
      <c r="H9" s="157"/>
      <c r="I9" s="156"/>
      <c r="J9" s="49">
        <f t="shared" si="1"/>
        <v>0</v>
      </c>
      <c r="K9" s="51">
        <f t="shared" si="2"/>
        <v>0</v>
      </c>
      <c r="L9" s="49">
        <f t="shared" si="3"/>
        <v>0</v>
      </c>
      <c r="M9" s="50">
        <f t="shared" si="4"/>
        <v>0</v>
      </c>
      <c r="N9" s="50">
        <f t="shared" si="5"/>
        <v>0</v>
      </c>
    </row>
    <row r="10" spans="2:24" s="45" customFormat="1" ht="12.45" hidden="1" customHeight="1" outlineLevel="1" x14ac:dyDescent="0.35">
      <c r="B10" s="23">
        <f t="shared" ref="B10:B15" si="6">D9+1</f>
        <v>251</v>
      </c>
      <c r="C10" s="42" t="s">
        <v>21</v>
      </c>
      <c r="D10" s="23">
        <f t="shared" si="0"/>
        <v>275</v>
      </c>
      <c r="G10" s="156"/>
      <c r="H10" s="157"/>
      <c r="I10" s="156"/>
      <c r="J10" s="49">
        <f t="shared" si="1"/>
        <v>0</v>
      </c>
      <c r="K10" s="51">
        <f t="shared" si="2"/>
        <v>0</v>
      </c>
      <c r="L10" s="49">
        <f t="shared" si="3"/>
        <v>0</v>
      </c>
      <c r="M10" s="50">
        <f t="shared" si="4"/>
        <v>0</v>
      </c>
      <c r="N10" s="50">
        <f t="shared" si="5"/>
        <v>0</v>
      </c>
    </row>
    <row r="11" spans="2:24" s="45" customFormat="1" ht="12.45" hidden="1" customHeight="1" outlineLevel="1" x14ac:dyDescent="0.35">
      <c r="B11" s="23">
        <f t="shared" si="6"/>
        <v>276</v>
      </c>
      <c r="C11" s="42" t="s">
        <v>21</v>
      </c>
      <c r="D11" s="23">
        <f t="shared" si="0"/>
        <v>300</v>
      </c>
      <c r="G11" s="156"/>
      <c r="H11" s="157"/>
      <c r="I11" s="156"/>
      <c r="J11" s="49">
        <f t="shared" si="1"/>
        <v>0</v>
      </c>
      <c r="K11" s="51">
        <f t="shared" si="2"/>
        <v>0</v>
      </c>
      <c r="L11" s="49">
        <f t="shared" si="3"/>
        <v>0</v>
      </c>
      <c r="M11" s="50">
        <f t="shared" si="4"/>
        <v>0</v>
      </c>
      <c r="N11" s="50">
        <f t="shared" si="5"/>
        <v>0</v>
      </c>
      <c r="S11" s="54"/>
      <c r="T11" s="54"/>
      <c r="U11" s="54"/>
      <c r="V11" s="54"/>
    </row>
    <row r="12" spans="2:24" s="45" customFormat="1" ht="12.45" hidden="1" customHeight="1" outlineLevel="1" x14ac:dyDescent="0.35">
      <c r="B12" s="23">
        <f t="shared" si="6"/>
        <v>301</v>
      </c>
      <c r="C12" s="42" t="s">
        <v>21</v>
      </c>
      <c r="D12" s="23">
        <f t="shared" si="0"/>
        <v>325</v>
      </c>
      <c r="G12" s="156"/>
      <c r="H12" s="157"/>
      <c r="I12" s="156"/>
      <c r="J12" s="49">
        <f t="shared" si="1"/>
        <v>0</v>
      </c>
      <c r="K12" s="51">
        <f t="shared" si="2"/>
        <v>0</v>
      </c>
      <c r="L12" s="49">
        <f t="shared" si="3"/>
        <v>0</v>
      </c>
      <c r="M12" s="50">
        <f t="shared" si="4"/>
        <v>0</v>
      </c>
      <c r="N12" s="50">
        <f t="shared" si="5"/>
        <v>0</v>
      </c>
      <c r="W12" s="55"/>
      <c r="X12" s="56"/>
    </row>
    <row r="13" spans="2:24" s="45" customFormat="1" ht="12.45" hidden="1" customHeight="1" outlineLevel="1" x14ac:dyDescent="0.35">
      <c r="B13" s="23">
        <f t="shared" si="6"/>
        <v>326</v>
      </c>
      <c r="C13" s="42" t="s">
        <v>21</v>
      </c>
      <c r="D13" s="23">
        <f t="shared" si="0"/>
        <v>350</v>
      </c>
      <c r="G13" s="156"/>
      <c r="H13" s="157"/>
      <c r="I13" s="156"/>
      <c r="J13" s="49">
        <f t="shared" si="1"/>
        <v>0</v>
      </c>
      <c r="K13" s="51">
        <f t="shared" si="2"/>
        <v>0</v>
      </c>
      <c r="L13" s="49">
        <f t="shared" si="3"/>
        <v>0</v>
      </c>
      <c r="M13" s="50">
        <f t="shared" si="4"/>
        <v>0</v>
      </c>
      <c r="N13" s="50">
        <f t="shared" si="5"/>
        <v>0</v>
      </c>
    </row>
    <row r="14" spans="2:24" s="45" customFormat="1" ht="12.45" hidden="1" customHeight="1" outlineLevel="1" x14ac:dyDescent="0.35">
      <c r="B14" s="23">
        <f t="shared" si="6"/>
        <v>351</v>
      </c>
      <c r="C14" s="42" t="s">
        <v>21</v>
      </c>
      <c r="D14" s="23">
        <f t="shared" si="0"/>
        <v>375</v>
      </c>
      <c r="G14" s="156"/>
      <c r="H14" s="157"/>
      <c r="I14" s="156"/>
      <c r="J14" s="49">
        <f t="shared" si="1"/>
        <v>0</v>
      </c>
      <c r="K14" s="51">
        <f t="shared" si="2"/>
        <v>0</v>
      </c>
      <c r="L14" s="49">
        <f t="shared" si="3"/>
        <v>0</v>
      </c>
      <c r="M14" s="50">
        <f t="shared" si="4"/>
        <v>0</v>
      </c>
      <c r="N14" s="50">
        <f t="shared" si="5"/>
        <v>0</v>
      </c>
    </row>
    <row r="15" spans="2:24" ht="12.45" hidden="1" customHeight="1" outlineLevel="1" x14ac:dyDescent="0.35">
      <c r="B15" s="23">
        <f t="shared" si="6"/>
        <v>376</v>
      </c>
      <c r="C15" s="42" t="s">
        <v>21</v>
      </c>
      <c r="D15" s="23">
        <f t="shared" si="0"/>
        <v>400</v>
      </c>
      <c r="G15" s="156"/>
      <c r="H15" s="157"/>
      <c r="I15" s="156"/>
      <c r="J15" s="49">
        <f t="shared" si="1"/>
        <v>0</v>
      </c>
      <c r="K15" s="51">
        <f t="shared" si="2"/>
        <v>0</v>
      </c>
      <c r="L15" s="49">
        <f t="shared" si="3"/>
        <v>0</v>
      </c>
      <c r="M15" s="50">
        <f t="shared" si="4"/>
        <v>0</v>
      </c>
      <c r="N15" s="50">
        <f t="shared" si="5"/>
        <v>0</v>
      </c>
      <c r="U15" s="45"/>
    </row>
    <row r="16" spans="2:24" ht="12.45" hidden="1" customHeight="1" outlineLevel="1" x14ac:dyDescent="0.35">
      <c r="B16" s="23">
        <f t="shared" ref="B16" si="7">D15+1</f>
        <v>401</v>
      </c>
      <c r="C16" s="42" t="s">
        <v>21</v>
      </c>
      <c r="D16" s="23">
        <f t="shared" ref="D16" si="8">B16+$T$8</f>
        <v>425</v>
      </c>
      <c r="G16" s="156"/>
      <c r="H16" s="157"/>
      <c r="I16" s="156"/>
      <c r="J16" s="49">
        <f t="shared" ref="J16" si="9">$U$1*($J$6*D16/100)/(100%-$J$7)</f>
        <v>0</v>
      </c>
      <c r="K16" s="51">
        <f t="shared" ref="K16" si="10">$U$1*($K$6*D16/100)/(100%-$K$7)</f>
        <v>0</v>
      </c>
      <c r="L16" s="49">
        <f t="shared" ref="L16" si="11">$U$1*($L$6*D16/100)/(100%-$L$7)</f>
        <v>0</v>
      </c>
      <c r="M16" s="50">
        <f t="shared" ref="M16" si="12">$U$1*($M$6*D16/100)/(100%-$M$7)</f>
        <v>0</v>
      </c>
      <c r="N16" s="50">
        <f t="shared" ref="N16" si="13">$U$1*($N$6*D16/100)/(100%-$N$7)</f>
        <v>0</v>
      </c>
      <c r="U16" s="45"/>
    </row>
    <row r="17" spans="2:21" ht="6.25" hidden="1" customHeight="1" outlineLevel="1" x14ac:dyDescent="0.35">
      <c r="B17" s="23"/>
      <c r="C17" s="42"/>
      <c r="D17" s="23"/>
      <c r="G17" s="156"/>
      <c r="H17" s="157"/>
      <c r="I17" s="156"/>
      <c r="J17" s="156"/>
      <c r="K17" s="105"/>
      <c r="L17" s="156"/>
      <c r="M17" s="157"/>
      <c r="N17" s="157"/>
      <c r="U17" s="45"/>
    </row>
    <row r="18" spans="2:21" ht="6.25" customHeight="1" collapsed="1" x14ac:dyDescent="0.35"/>
    <row r="19" spans="2:21" x14ac:dyDescent="0.35">
      <c r="B19" s="17" t="s">
        <v>72</v>
      </c>
      <c r="N19" s="20" t="s">
        <v>4</v>
      </c>
    </row>
    <row r="20" spans="2:21" x14ac:dyDescent="0.35">
      <c r="L20" s="20"/>
    </row>
    <row r="21" spans="2:21" x14ac:dyDescent="0.35">
      <c r="F21" s="23"/>
      <c r="G21" s="26"/>
      <c r="H21" s="26" t="s">
        <v>27</v>
      </c>
      <c r="I21" s="158"/>
      <c r="J21" s="24"/>
      <c r="K21" s="24"/>
      <c r="L21" s="24"/>
      <c r="M21" s="24"/>
      <c r="N21" s="24"/>
    </row>
    <row r="22" spans="2:21" s="45" customFormat="1" x14ac:dyDescent="0.35">
      <c r="B22" s="27" t="s">
        <v>0</v>
      </c>
      <c r="C22" s="28"/>
      <c r="D22" s="27"/>
      <c r="E22" s="27"/>
      <c r="F22" s="27"/>
      <c r="G22" s="27"/>
      <c r="J22" s="38" t="s">
        <v>76</v>
      </c>
      <c r="K22" s="38" t="s">
        <v>2</v>
      </c>
      <c r="L22" s="38" t="s">
        <v>36</v>
      </c>
      <c r="M22" s="38" t="s">
        <v>1</v>
      </c>
      <c r="N22" s="38" t="s">
        <v>3</v>
      </c>
      <c r="U22" s="19"/>
    </row>
    <row r="23" spans="2:21" s="45" customFormat="1" ht="11.6" x14ac:dyDescent="0.35">
      <c r="B23" s="27" t="s">
        <v>5</v>
      </c>
      <c r="C23" s="28"/>
      <c r="D23" s="27"/>
      <c r="E23" s="27"/>
      <c r="F23" s="27"/>
      <c r="G23" s="27"/>
      <c r="J23" s="38">
        <v>0.65</v>
      </c>
      <c r="K23" s="38">
        <v>0.65</v>
      </c>
      <c r="L23" s="38">
        <v>0.7</v>
      </c>
      <c r="M23" s="38">
        <v>0.7</v>
      </c>
      <c r="N23" s="38">
        <v>0.7</v>
      </c>
    </row>
    <row r="24" spans="2:21" s="45" customFormat="1" ht="11.6" x14ac:dyDescent="0.35">
      <c r="B24" s="27"/>
      <c r="C24" s="28"/>
      <c r="D24" s="27"/>
      <c r="E24" s="27"/>
      <c r="F24" s="27"/>
      <c r="G24" s="27"/>
      <c r="J24" s="40">
        <f>(9.4/2)*0.2</f>
        <v>0.94000000000000006</v>
      </c>
      <c r="K24" s="40">
        <f>(9.4/2)*0.25</f>
        <v>1.175</v>
      </c>
      <c r="L24" s="40">
        <f>(10.1/2)*0.28</f>
        <v>1.4140000000000001</v>
      </c>
      <c r="M24" s="41">
        <f>(10.1/2)*0.33</f>
        <v>1.6665000000000001</v>
      </c>
      <c r="N24" s="41">
        <f>(12.6/2)*0.4</f>
        <v>2.52</v>
      </c>
    </row>
    <row r="25" spans="2:21" s="45" customFormat="1" ht="11.6" x14ac:dyDescent="0.35">
      <c r="B25" s="26" t="s">
        <v>78</v>
      </c>
      <c r="C25" s="42"/>
      <c r="D25" s="26"/>
      <c r="J25" s="46">
        <v>0.72</v>
      </c>
      <c r="K25" s="46">
        <v>0.67</v>
      </c>
      <c r="L25" s="46">
        <v>0.61</v>
      </c>
      <c r="M25" s="46">
        <v>0.57999999999999996</v>
      </c>
      <c r="N25" s="46">
        <v>0.61</v>
      </c>
      <c r="O25" s="52"/>
      <c r="P25" s="52"/>
      <c r="Q25" s="52"/>
      <c r="R25" s="62"/>
      <c r="S25" s="52" t="s">
        <v>22</v>
      </c>
      <c r="T25" s="53">
        <f>T1</f>
        <v>24</v>
      </c>
    </row>
    <row r="26" spans="2:21" s="45" customFormat="1" ht="12.45" hidden="1" customHeight="1" outlineLevel="1" x14ac:dyDescent="0.35">
      <c r="B26" s="48">
        <v>201</v>
      </c>
      <c r="C26" s="159" t="s">
        <v>21</v>
      </c>
      <c r="D26" s="48">
        <f>B26+$T25</f>
        <v>225</v>
      </c>
      <c r="J26" s="49">
        <f t="shared" ref="J26:J34" si="14">$U$1*($J$24*D26/100)/(100%-$J$25)</f>
        <v>0</v>
      </c>
      <c r="K26" s="49">
        <f t="shared" ref="K26:K34" si="15">$U$1*($K$24*D26/100)/(100%-$K$25)</f>
        <v>0</v>
      </c>
      <c r="L26" s="49">
        <f t="shared" ref="L26:L34" si="16">$U$1*($L$24*D26/100)/(100%-$L$25)</f>
        <v>0</v>
      </c>
      <c r="M26" s="49">
        <f t="shared" ref="M26:M34" si="17">$U$1*($M$24*D26/100)/(100%-$M$25)</f>
        <v>0</v>
      </c>
      <c r="N26" s="49">
        <f t="shared" ref="N26:N34" si="18">$U$1*($N$24*D26/100)/(100%-$N$25)</f>
        <v>0</v>
      </c>
    </row>
    <row r="27" spans="2:21" s="45" customFormat="1" ht="12.45" hidden="1" customHeight="1" outlineLevel="1" x14ac:dyDescent="0.35">
      <c r="B27" s="48">
        <f>D26+1</f>
        <v>226</v>
      </c>
      <c r="C27" s="159" t="s">
        <v>21</v>
      </c>
      <c r="D27" s="48">
        <f t="shared" ref="D27:D33" si="19">B27+$T$25</f>
        <v>250</v>
      </c>
      <c r="J27" s="49">
        <f t="shared" si="14"/>
        <v>0</v>
      </c>
      <c r="K27" s="49">
        <f t="shared" si="15"/>
        <v>0</v>
      </c>
      <c r="L27" s="49">
        <f t="shared" si="16"/>
        <v>0</v>
      </c>
      <c r="M27" s="49">
        <f t="shared" si="17"/>
        <v>0</v>
      </c>
      <c r="N27" s="49">
        <f t="shared" si="18"/>
        <v>0</v>
      </c>
    </row>
    <row r="28" spans="2:21" s="45" customFormat="1" ht="12.45" hidden="1" customHeight="1" outlineLevel="1" x14ac:dyDescent="0.35">
      <c r="B28" s="48">
        <f t="shared" ref="B28:B33" si="20">D27+1</f>
        <v>251</v>
      </c>
      <c r="C28" s="159" t="s">
        <v>21</v>
      </c>
      <c r="D28" s="48">
        <f t="shared" si="19"/>
        <v>275</v>
      </c>
      <c r="J28" s="49">
        <f t="shared" si="14"/>
        <v>0</v>
      </c>
      <c r="K28" s="49">
        <f t="shared" si="15"/>
        <v>0</v>
      </c>
      <c r="L28" s="49">
        <f t="shared" si="16"/>
        <v>0</v>
      </c>
      <c r="M28" s="49">
        <f t="shared" si="17"/>
        <v>0</v>
      </c>
      <c r="N28" s="49">
        <f t="shared" si="18"/>
        <v>0</v>
      </c>
    </row>
    <row r="29" spans="2:21" s="45" customFormat="1" ht="12.45" hidden="1" customHeight="1" outlineLevel="1" x14ac:dyDescent="0.35">
      <c r="B29" s="48">
        <f t="shared" si="20"/>
        <v>276</v>
      </c>
      <c r="C29" s="159" t="s">
        <v>21</v>
      </c>
      <c r="D29" s="48">
        <f t="shared" si="19"/>
        <v>300</v>
      </c>
      <c r="J29" s="49">
        <f t="shared" si="14"/>
        <v>0</v>
      </c>
      <c r="K29" s="49">
        <f t="shared" si="15"/>
        <v>0</v>
      </c>
      <c r="L29" s="49">
        <f t="shared" si="16"/>
        <v>0</v>
      </c>
      <c r="M29" s="49">
        <f t="shared" si="17"/>
        <v>0</v>
      </c>
      <c r="N29" s="49">
        <f t="shared" si="18"/>
        <v>0</v>
      </c>
    </row>
    <row r="30" spans="2:21" s="45" customFormat="1" ht="12.45" hidden="1" customHeight="1" outlineLevel="1" x14ac:dyDescent="0.35">
      <c r="B30" s="48">
        <f t="shared" si="20"/>
        <v>301</v>
      </c>
      <c r="C30" s="159" t="s">
        <v>21</v>
      </c>
      <c r="D30" s="48">
        <f t="shared" si="19"/>
        <v>325</v>
      </c>
      <c r="J30" s="49">
        <f t="shared" si="14"/>
        <v>0</v>
      </c>
      <c r="K30" s="49">
        <f t="shared" si="15"/>
        <v>0</v>
      </c>
      <c r="L30" s="49">
        <f t="shared" si="16"/>
        <v>0</v>
      </c>
      <c r="M30" s="49">
        <f t="shared" si="17"/>
        <v>0</v>
      </c>
      <c r="N30" s="49">
        <f t="shared" si="18"/>
        <v>0</v>
      </c>
    </row>
    <row r="31" spans="2:21" s="45" customFormat="1" ht="12.45" hidden="1" customHeight="1" outlineLevel="1" x14ac:dyDescent="0.35">
      <c r="B31" s="48">
        <f t="shared" si="20"/>
        <v>326</v>
      </c>
      <c r="C31" s="159" t="s">
        <v>21</v>
      </c>
      <c r="D31" s="48">
        <f t="shared" si="19"/>
        <v>350</v>
      </c>
      <c r="J31" s="49">
        <f t="shared" si="14"/>
        <v>0</v>
      </c>
      <c r="K31" s="49">
        <f t="shared" si="15"/>
        <v>0</v>
      </c>
      <c r="L31" s="49">
        <f t="shared" si="16"/>
        <v>0</v>
      </c>
      <c r="M31" s="49">
        <f t="shared" si="17"/>
        <v>0</v>
      </c>
      <c r="N31" s="49">
        <f t="shared" si="18"/>
        <v>0</v>
      </c>
    </row>
    <row r="32" spans="2:21" s="45" customFormat="1" ht="12.45" hidden="1" customHeight="1" outlineLevel="1" x14ac:dyDescent="0.35">
      <c r="B32" s="48">
        <f t="shared" si="20"/>
        <v>351</v>
      </c>
      <c r="C32" s="159" t="s">
        <v>21</v>
      </c>
      <c r="D32" s="48">
        <f t="shared" si="19"/>
        <v>375</v>
      </c>
      <c r="J32" s="49">
        <f t="shared" si="14"/>
        <v>0</v>
      </c>
      <c r="K32" s="49">
        <f t="shared" si="15"/>
        <v>0</v>
      </c>
      <c r="L32" s="49">
        <f t="shared" si="16"/>
        <v>0</v>
      </c>
      <c r="M32" s="49">
        <f t="shared" si="17"/>
        <v>0</v>
      </c>
      <c r="N32" s="49">
        <f t="shared" si="18"/>
        <v>0</v>
      </c>
    </row>
    <row r="33" spans="2:21" ht="12.45" hidden="1" customHeight="1" outlineLevel="1" x14ac:dyDescent="0.35">
      <c r="B33" s="48">
        <f t="shared" si="20"/>
        <v>376</v>
      </c>
      <c r="C33" s="159" t="s">
        <v>21</v>
      </c>
      <c r="D33" s="48">
        <f t="shared" si="19"/>
        <v>400</v>
      </c>
      <c r="J33" s="49">
        <f t="shared" si="14"/>
        <v>0</v>
      </c>
      <c r="K33" s="49">
        <f t="shared" si="15"/>
        <v>0</v>
      </c>
      <c r="L33" s="49">
        <f t="shared" si="16"/>
        <v>0</v>
      </c>
      <c r="M33" s="49">
        <f t="shared" si="17"/>
        <v>0</v>
      </c>
      <c r="N33" s="49">
        <f t="shared" si="18"/>
        <v>0</v>
      </c>
      <c r="U33" s="45"/>
    </row>
    <row r="34" spans="2:21" ht="12.45" hidden="1" customHeight="1" outlineLevel="1" x14ac:dyDescent="0.35">
      <c r="B34" s="48">
        <f t="shared" ref="B34" si="21">D33+1</f>
        <v>401</v>
      </c>
      <c r="C34" s="159" t="s">
        <v>21</v>
      </c>
      <c r="D34" s="48">
        <f t="shared" ref="D34" si="22">B34+$T$25</f>
        <v>425</v>
      </c>
      <c r="J34" s="49">
        <f t="shared" si="14"/>
        <v>0</v>
      </c>
      <c r="K34" s="49">
        <f t="shared" si="15"/>
        <v>0</v>
      </c>
      <c r="L34" s="49">
        <f t="shared" si="16"/>
        <v>0</v>
      </c>
      <c r="M34" s="49">
        <f t="shared" si="17"/>
        <v>0</v>
      </c>
      <c r="N34" s="49">
        <f t="shared" si="18"/>
        <v>0</v>
      </c>
      <c r="U34" s="45"/>
    </row>
    <row r="35" spans="2:21" ht="6.25" hidden="1" customHeight="1" outlineLevel="1" x14ac:dyDescent="0.35">
      <c r="B35" s="48"/>
      <c r="C35" s="159"/>
      <c r="D35" s="48"/>
      <c r="J35" s="156"/>
      <c r="K35" s="156"/>
      <c r="L35" s="156"/>
      <c r="M35" s="156"/>
      <c r="N35" s="156"/>
      <c r="U35" s="45"/>
    </row>
    <row r="36" spans="2:21" ht="6.25" customHeight="1" collapsed="1" x14ac:dyDescent="0.35"/>
    <row r="37" spans="2:21" x14ac:dyDescent="0.35">
      <c r="B37" s="17" t="s">
        <v>645</v>
      </c>
      <c r="N37" s="20" t="s">
        <v>8</v>
      </c>
    </row>
    <row r="39" spans="2:21" x14ac:dyDescent="0.35">
      <c r="F39" s="23"/>
      <c r="G39" s="26"/>
      <c r="H39" s="24"/>
      <c r="I39" s="150" t="s">
        <v>646</v>
      </c>
      <c r="J39" s="25"/>
      <c r="K39" s="25" t="s">
        <v>751</v>
      </c>
      <c r="L39" s="25" t="s">
        <v>261</v>
      </c>
      <c r="M39" s="25" t="s">
        <v>262</v>
      </c>
      <c r="N39" s="25" t="s">
        <v>260</v>
      </c>
    </row>
    <row r="40" spans="2:21" s="45" customFormat="1" x14ac:dyDescent="0.35">
      <c r="B40" s="27" t="s">
        <v>0</v>
      </c>
      <c r="C40" s="28"/>
      <c r="D40" s="27"/>
      <c r="E40" s="27"/>
      <c r="F40" s="27"/>
      <c r="G40" s="27"/>
      <c r="I40" s="82"/>
      <c r="J40" s="160"/>
      <c r="K40" s="68">
        <v>60</v>
      </c>
      <c r="L40" s="68">
        <v>80</v>
      </c>
      <c r="M40" s="68">
        <v>100</v>
      </c>
      <c r="N40" s="68">
        <v>120</v>
      </c>
      <c r="U40" s="19"/>
    </row>
    <row r="41" spans="2:21" s="45" customFormat="1" ht="23.9" customHeight="1" x14ac:dyDescent="0.35">
      <c r="B41" s="27" t="s">
        <v>5</v>
      </c>
      <c r="C41" s="28"/>
      <c r="D41" s="27"/>
      <c r="E41" s="27"/>
      <c r="F41" s="27"/>
      <c r="G41" s="27"/>
      <c r="I41" s="52"/>
      <c r="J41" s="118"/>
      <c r="K41" s="37">
        <v>0.65</v>
      </c>
      <c r="L41" s="37">
        <v>0.65</v>
      </c>
      <c r="M41" s="37">
        <v>0.65</v>
      </c>
      <c r="N41" s="37">
        <v>0.7</v>
      </c>
    </row>
    <row r="42" spans="2:21" s="45" customFormat="1" ht="11.6" x14ac:dyDescent="0.35">
      <c r="B42" s="27"/>
      <c r="C42" s="28"/>
      <c r="D42" s="27"/>
      <c r="E42" s="27"/>
      <c r="F42" s="27"/>
      <c r="G42" s="27"/>
      <c r="I42" s="161"/>
      <c r="J42" s="162"/>
      <c r="K42" s="41">
        <f>(9.4/2)*0.2</f>
        <v>0.94000000000000006</v>
      </c>
      <c r="L42" s="41">
        <f>(9.4/2)*0.28</f>
        <v>1.3160000000000003</v>
      </c>
      <c r="M42" s="41">
        <f>(9.4/2)*0.33</f>
        <v>1.5510000000000002</v>
      </c>
      <c r="N42" s="41">
        <f>(10.1/2)*0.4</f>
        <v>2.02</v>
      </c>
    </row>
    <row r="43" spans="2:21" s="45" customFormat="1" ht="12.65" customHeight="1" x14ac:dyDescent="0.35">
      <c r="B43" s="26" t="s">
        <v>78</v>
      </c>
      <c r="C43" s="44"/>
      <c r="F43" s="26"/>
      <c r="I43" s="107"/>
      <c r="J43" s="163"/>
      <c r="K43" s="46">
        <v>0.71</v>
      </c>
      <c r="L43" s="46">
        <v>0.66</v>
      </c>
      <c r="M43" s="46">
        <v>0.61</v>
      </c>
      <c r="N43" s="46">
        <v>0.62</v>
      </c>
      <c r="S43" s="52" t="s">
        <v>22</v>
      </c>
      <c r="T43" s="53">
        <f>T1</f>
        <v>24</v>
      </c>
    </row>
    <row r="44" spans="2:21" s="45" customFormat="1" ht="12.65" hidden="1" customHeight="1" outlineLevel="1" x14ac:dyDescent="0.35">
      <c r="B44" s="70">
        <v>201</v>
      </c>
      <c r="C44" s="71" t="s">
        <v>21</v>
      </c>
      <c r="D44" s="72">
        <f t="shared" ref="D44:D51" si="23">B44+$T$43</f>
        <v>225</v>
      </c>
      <c r="I44" s="105"/>
      <c r="J44" s="164"/>
      <c r="K44" s="51">
        <f t="shared" ref="K44:K52" si="24">$U$1*($K$42*D44/100)/(100%-$K$43)</f>
        <v>0</v>
      </c>
      <c r="L44" s="51">
        <f t="shared" ref="L44:L52" si="25">$U$1*($L$42*D44/100)/(100%-$L$43)</f>
        <v>0</v>
      </c>
      <c r="M44" s="51">
        <f t="shared" ref="M44:M52" si="26">$U$1*($M$42*D44/100)/(100%-$M$43)</f>
        <v>0</v>
      </c>
      <c r="N44" s="51">
        <f t="shared" ref="N44:N52" si="27">$U$1*($N$42*D44/100)/(100%-$N$43)</f>
        <v>0</v>
      </c>
    </row>
    <row r="45" spans="2:21" s="45" customFormat="1" ht="12.65" hidden="1" customHeight="1" outlineLevel="1" x14ac:dyDescent="0.35">
      <c r="B45" s="70">
        <f>D44+1</f>
        <v>226</v>
      </c>
      <c r="C45" s="71" t="s">
        <v>21</v>
      </c>
      <c r="D45" s="70">
        <f t="shared" si="23"/>
        <v>250</v>
      </c>
      <c r="I45" s="105"/>
      <c r="J45" s="164"/>
      <c r="K45" s="51">
        <f t="shared" si="24"/>
        <v>0</v>
      </c>
      <c r="L45" s="51">
        <f t="shared" si="25"/>
        <v>0</v>
      </c>
      <c r="M45" s="51">
        <f t="shared" si="26"/>
        <v>0</v>
      </c>
      <c r="N45" s="51">
        <f t="shared" si="27"/>
        <v>0</v>
      </c>
    </row>
    <row r="46" spans="2:21" s="45" customFormat="1" ht="12.65" hidden="1" customHeight="1" outlineLevel="1" x14ac:dyDescent="0.35">
      <c r="B46" s="70">
        <f t="shared" ref="B46:B51" si="28">D45+1</f>
        <v>251</v>
      </c>
      <c r="C46" s="71" t="s">
        <v>21</v>
      </c>
      <c r="D46" s="70">
        <f t="shared" si="23"/>
        <v>275</v>
      </c>
      <c r="I46" s="105"/>
      <c r="J46" s="164"/>
      <c r="K46" s="51">
        <f t="shared" si="24"/>
        <v>0</v>
      </c>
      <c r="L46" s="51">
        <f t="shared" si="25"/>
        <v>0</v>
      </c>
      <c r="M46" s="51">
        <f t="shared" si="26"/>
        <v>0</v>
      </c>
      <c r="N46" s="51">
        <f t="shared" si="27"/>
        <v>0</v>
      </c>
    </row>
    <row r="47" spans="2:21" s="45" customFormat="1" ht="12.65" hidden="1" customHeight="1" outlineLevel="1" x14ac:dyDescent="0.35">
      <c r="B47" s="70">
        <f t="shared" si="28"/>
        <v>276</v>
      </c>
      <c r="C47" s="71" t="s">
        <v>21</v>
      </c>
      <c r="D47" s="70">
        <f t="shared" si="23"/>
        <v>300</v>
      </c>
      <c r="I47" s="105"/>
      <c r="J47" s="164"/>
      <c r="K47" s="51">
        <f t="shared" si="24"/>
        <v>0</v>
      </c>
      <c r="L47" s="51">
        <f t="shared" si="25"/>
        <v>0</v>
      </c>
      <c r="M47" s="51">
        <f t="shared" si="26"/>
        <v>0</v>
      </c>
      <c r="N47" s="51">
        <f t="shared" si="27"/>
        <v>0</v>
      </c>
    </row>
    <row r="48" spans="2:21" s="45" customFormat="1" ht="12.65" hidden="1" customHeight="1" outlineLevel="1" x14ac:dyDescent="0.35">
      <c r="B48" s="70">
        <f t="shared" si="28"/>
        <v>301</v>
      </c>
      <c r="C48" s="71" t="s">
        <v>21</v>
      </c>
      <c r="D48" s="70">
        <f t="shared" si="23"/>
        <v>325</v>
      </c>
      <c r="I48" s="105"/>
      <c r="J48" s="164"/>
      <c r="K48" s="51">
        <f t="shared" si="24"/>
        <v>0</v>
      </c>
      <c r="L48" s="51">
        <f t="shared" si="25"/>
        <v>0</v>
      </c>
      <c r="M48" s="51">
        <f t="shared" si="26"/>
        <v>0</v>
      </c>
      <c r="N48" s="51">
        <f t="shared" si="27"/>
        <v>0</v>
      </c>
    </row>
    <row r="49" spans="2:21" s="45" customFormat="1" ht="12.65" hidden="1" customHeight="1" outlineLevel="1" x14ac:dyDescent="0.35">
      <c r="B49" s="70">
        <f t="shared" si="28"/>
        <v>326</v>
      </c>
      <c r="C49" s="71" t="s">
        <v>21</v>
      </c>
      <c r="D49" s="70">
        <f t="shared" si="23"/>
        <v>350</v>
      </c>
      <c r="I49" s="105"/>
      <c r="J49" s="164"/>
      <c r="K49" s="51">
        <f t="shared" si="24"/>
        <v>0</v>
      </c>
      <c r="L49" s="51">
        <f t="shared" si="25"/>
        <v>0</v>
      </c>
      <c r="M49" s="51">
        <f t="shared" si="26"/>
        <v>0</v>
      </c>
      <c r="N49" s="51">
        <f t="shared" si="27"/>
        <v>0</v>
      </c>
    </row>
    <row r="50" spans="2:21" s="45" customFormat="1" ht="12.65" hidden="1" customHeight="1" outlineLevel="1" x14ac:dyDescent="0.35">
      <c r="B50" s="70">
        <f t="shared" si="28"/>
        <v>351</v>
      </c>
      <c r="C50" s="71" t="s">
        <v>21</v>
      </c>
      <c r="D50" s="70">
        <f t="shared" si="23"/>
        <v>375</v>
      </c>
      <c r="I50" s="105"/>
      <c r="J50" s="164"/>
      <c r="K50" s="51">
        <f t="shared" si="24"/>
        <v>0</v>
      </c>
      <c r="L50" s="51">
        <f t="shared" si="25"/>
        <v>0</v>
      </c>
      <c r="M50" s="51">
        <f t="shared" si="26"/>
        <v>0</v>
      </c>
      <c r="N50" s="51">
        <f t="shared" si="27"/>
        <v>0</v>
      </c>
      <c r="O50" s="19"/>
      <c r="P50" s="19"/>
      <c r="Q50" s="19"/>
      <c r="R50" s="19"/>
    </row>
    <row r="51" spans="2:21" ht="12.65" hidden="1" customHeight="1" outlineLevel="1" x14ac:dyDescent="0.35">
      <c r="B51" s="70">
        <f t="shared" si="28"/>
        <v>376</v>
      </c>
      <c r="C51" s="71" t="s">
        <v>21</v>
      </c>
      <c r="D51" s="70">
        <f t="shared" si="23"/>
        <v>400</v>
      </c>
      <c r="I51" s="105"/>
      <c r="J51" s="164"/>
      <c r="K51" s="51">
        <f t="shared" si="24"/>
        <v>0</v>
      </c>
      <c r="L51" s="51">
        <f t="shared" si="25"/>
        <v>0</v>
      </c>
      <c r="M51" s="51">
        <f t="shared" si="26"/>
        <v>0</v>
      </c>
      <c r="N51" s="51">
        <f t="shared" si="27"/>
        <v>0</v>
      </c>
      <c r="U51" s="45"/>
    </row>
    <row r="52" spans="2:21" ht="12.65" hidden="1" customHeight="1" outlineLevel="1" x14ac:dyDescent="0.35">
      <c r="B52" s="70">
        <f t="shared" ref="B52" si="29">D51+1</f>
        <v>401</v>
      </c>
      <c r="C52" s="71" t="s">
        <v>21</v>
      </c>
      <c r="D52" s="70">
        <f t="shared" ref="D52" si="30">B52+$T$43</f>
        <v>425</v>
      </c>
      <c r="I52" s="105"/>
      <c r="J52" s="164"/>
      <c r="K52" s="51">
        <f t="shared" si="24"/>
        <v>0</v>
      </c>
      <c r="L52" s="51">
        <f t="shared" si="25"/>
        <v>0</v>
      </c>
      <c r="M52" s="51">
        <f t="shared" si="26"/>
        <v>0</v>
      </c>
      <c r="N52" s="51">
        <f t="shared" si="27"/>
        <v>0</v>
      </c>
      <c r="U52" s="45"/>
    </row>
    <row r="53" spans="2:21" ht="6.25" hidden="1" customHeight="1" outlineLevel="1" x14ac:dyDescent="0.35">
      <c r="B53" s="70"/>
      <c r="C53" s="71"/>
      <c r="D53" s="70"/>
      <c r="I53" s="105"/>
      <c r="J53" s="105"/>
      <c r="K53" s="105"/>
      <c r="L53" s="105"/>
      <c r="M53" s="105"/>
      <c r="N53" s="105"/>
      <c r="U53" s="45"/>
    </row>
    <row r="54" spans="2:21" ht="6.25" customHeight="1" collapsed="1" x14ac:dyDescent="0.35"/>
    <row r="55" spans="2:21" x14ac:dyDescent="0.35">
      <c r="B55" s="17" t="s">
        <v>647</v>
      </c>
    </row>
    <row r="56" spans="2:21" x14ac:dyDescent="0.35">
      <c r="N56" s="45"/>
      <c r="O56" s="45"/>
      <c r="P56" s="45"/>
      <c r="Q56" s="45"/>
      <c r="R56" s="45"/>
    </row>
    <row r="57" spans="2:21" s="45" customFormat="1" x14ac:dyDescent="0.35">
      <c r="B57" s="26" t="s">
        <v>27</v>
      </c>
      <c r="D57" s="26" t="s">
        <v>77</v>
      </c>
      <c r="E57" s="28"/>
      <c r="F57" s="27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S57" s="52" t="s">
        <v>22</v>
      </c>
      <c r="T57" s="53">
        <f>T3</f>
        <v>99</v>
      </c>
      <c r="U57" s="19"/>
    </row>
    <row r="58" spans="2:21" s="45" customFormat="1" ht="11.6" x14ac:dyDescent="0.35">
      <c r="D58" s="27"/>
      <c r="E58" s="28"/>
      <c r="F58" s="77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</row>
    <row r="59" spans="2:21" s="45" customFormat="1" ht="11.6" x14ac:dyDescent="0.35">
      <c r="B59" s="26" t="s">
        <v>27</v>
      </c>
      <c r="C59" s="28"/>
      <c r="D59" s="39" t="s">
        <v>86</v>
      </c>
      <c r="E59" s="28"/>
      <c r="F59" s="23"/>
      <c r="G59" s="70"/>
      <c r="H59" s="70"/>
      <c r="I59" s="70"/>
      <c r="J59" s="70"/>
      <c r="K59" s="70"/>
      <c r="L59" s="70"/>
      <c r="M59" s="70"/>
      <c r="N59" s="78" t="s">
        <v>77</v>
      </c>
      <c r="O59" s="42"/>
      <c r="P59" s="42" t="s">
        <v>90</v>
      </c>
      <c r="Q59" s="42" t="s">
        <v>39</v>
      </c>
      <c r="R59" s="42" t="s">
        <v>40</v>
      </c>
      <c r="S59" s="21"/>
      <c r="T59" s="148"/>
    </row>
    <row r="60" spans="2:21" s="45" customFormat="1" ht="12.65" customHeight="1" x14ac:dyDescent="0.35">
      <c r="B60" s="83"/>
      <c r="C60" s="88" t="s">
        <v>18</v>
      </c>
      <c r="D60" s="89"/>
      <c r="E60" s="88" t="s">
        <v>80</v>
      </c>
      <c r="F60" s="88"/>
      <c r="G60" s="88"/>
      <c r="H60" s="88"/>
      <c r="I60" s="88"/>
      <c r="J60" s="88"/>
      <c r="K60" s="88"/>
      <c r="L60" s="111"/>
      <c r="M60" s="111"/>
      <c r="N60" s="91">
        <f>($U$1*O60)*(100%+Q60)</f>
        <v>0</v>
      </c>
      <c r="O60" s="352">
        <f>(P60*(100%+R60))</f>
        <v>2.6670000000000003</v>
      </c>
      <c r="P60" s="365">
        <v>2.54</v>
      </c>
      <c r="Q60" s="297">
        <v>1.23</v>
      </c>
      <c r="R60" s="298">
        <v>0.05</v>
      </c>
      <c r="S60" s="21"/>
      <c r="T60" s="148"/>
    </row>
    <row r="61" spans="2:21" s="92" customFormat="1" ht="12.65" customHeight="1" x14ac:dyDescent="0.35">
      <c r="B61" s="87"/>
      <c r="C61" s="88" t="s">
        <v>38</v>
      </c>
      <c r="D61" s="89"/>
      <c r="E61" s="88" t="s">
        <v>80</v>
      </c>
      <c r="F61" s="88"/>
      <c r="G61" s="88"/>
      <c r="H61" s="88"/>
      <c r="I61" s="88"/>
      <c r="J61" s="88"/>
      <c r="K61" s="88"/>
      <c r="L61" s="111"/>
      <c r="M61" s="111"/>
      <c r="N61" s="91">
        <f t="shared" ref="N61:N64" si="31">($U$1*O61)*(100%+Q61)</f>
        <v>0</v>
      </c>
      <c r="O61" s="352">
        <f t="shared" ref="O61:O75" si="32">(P61*(100%+R61))</f>
        <v>2.625</v>
      </c>
      <c r="P61" s="365">
        <v>2.5</v>
      </c>
      <c r="Q61" s="297">
        <v>1.82</v>
      </c>
      <c r="R61" s="298">
        <v>0.05</v>
      </c>
    </row>
    <row r="62" spans="2:21" s="45" customFormat="1" ht="12.65" customHeight="1" x14ac:dyDescent="0.35">
      <c r="B62" s="83"/>
      <c r="C62" s="88" t="s">
        <v>19</v>
      </c>
      <c r="D62" s="89"/>
      <c r="E62" s="88" t="s">
        <v>80</v>
      </c>
      <c r="F62" s="88"/>
      <c r="G62" s="88"/>
      <c r="H62" s="88"/>
      <c r="I62" s="88"/>
      <c r="J62" s="88"/>
      <c r="K62" s="88"/>
      <c r="L62" s="111"/>
      <c r="M62" s="111"/>
      <c r="N62" s="91">
        <f t="shared" si="31"/>
        <v>0</v>
      </c>
      <c r="O62" s="352">
        <f t="shared" si="32"/>
        <v>2.6774999999999998</v>
      </c>
      <c r="P62" s="365">
        <v>2.5499999999999998</v>
      </c>
      <c r="Q62" s="297">
        <v>1.75</v>
      </c>
      <c r="R62" s="298">
        <v>0.05</v>
      </c>
    </row>
    <row r="63" spans="2:21" s="45" customFormat="1" ht="12.65" customHeight="1" x14ac:dyDescent="0.35">
      <c r="B63" s="83">
        <v>9030020009</v>
      </c>
      <c r="C63" s="26" t="s">
        <v>20</v>
      </c>
      <c r="D63" s="42"/>
      <c r="E63" s="26" t="s">
        <v>81</v>
      </c>
      <c r="F63" s="26"/>
      <c r="G63" s="26"/>
      <c r="H63" s="26"/>
      <c r="I63" s="26"/>
      <c r="J63" s="26"/>
      <c r="K63" s="26"/>
      <c r="L63" s="93"/>
      <c r="M63" s="93"/>
      <c r="N63" s="102">
        <f t="shared" si="31"/>
        <v>0</v>
      </c>
      <c r="O63" s="352">
        <f t="shared" si="32"/>
        <v>3.3075000000000001</v>
      </c>
      <c r="P63" s="365">
        <v>3.15</v>
      </c>
      <c r="Q63" s="297">
        <v>1.65</v>
      </c>
      <c r="R63" s="298">
        <v>0.05</v>
      </c>
    </row>
    <row r="64" spans="2:21" s="92" customFormat="1" ht="12.65" customHeight="1" x14ac:dyDescent="0.35">
      <c r="B64" s="87"/>
      <c r="C64" s="88" t="s">
        <v>37</v>
      </c>
      <c r="D64" s="89"/>
      <c r="E64" s="88" t="s">
        <v>80</v>
      </c>
      <c r="F64" s="88"/>
      <c r="G64" s="88"/>
      <c r="H64" s="88"/>
      <c r="I64" s="88"/>
      <c r="J64" s="88"/>
      <c r="K64" s="88"/>
      <c r="L64" s="111"/>
      <c r="M64" s="111"/>
      <c r="N64" s="91">
        <f t="shared" si="31"/>
        <v>0</v>
      </c>
      <c r="O64" s="352">
        <f t="shared" si="32"/>
        <v>3.4965000000000002</v>
      </c>
      <c r="P64" s="365">
        <v>3.33</v>
      </c>
      <c r="Q64" s="297">
        <v>1.1499999999999999</v>
      </c>
      <c r="R64" s="298">
        <v>0.05</v>
      </c>
    </row>
    <row r="65" spans="2:21" s="45" customFormat="1" ht="12.65" customHeight="1" x14ac:dyDescent="0.35">
      <c r="B65" s="83">
        <v>9030020010</v>
      </c>
      <c r="C65" s="26" t="s">
        <v>82</v>
      </c>
      <c r="D65" s="42"/>
      <c r="E65" s="26" t="s">
        <v>80</v>
      </c>
      <c r="F65" s="26"/>
      <c r="G65" s="26"/>
      <c r="H65" s="26"/>
      <c r="I65" s="26"/>
      <c r="J65" s="26"/>
      <c r="K65" s="26"/>
      <c r="L65" s="93"/>
      <c r="M65" s="93"/>
      <c r="N65" s="102">
        <f>($U$1*O65)*(100%+Q65)</f>
        <v>0</v>
      </c>
      <c r="O65" s="352">
        <f t="shared" si="32"/>
        <v>4.0529999999999999</v>
      </c>
      <c r="P65" s="365">
        <v>3.86</v>
      </c>
      <c r="Q65" s="297">
        <v>1.1499999999999999</v>
      </c>
      <c r="R65" s="298">
        <v>0.05</v>
      </c>
      <c r="S65" s="19"/>
      <c r="T65" s="19"/>
    </row>
    <row r="66" spans="2:21" x14ac:dyDescent="0.35">
      <c r="O66" s="352"/>
      <c r="P66" s="18"/>
      <c r="Q66" s="18"/>
      <c r="R66" s="18"/>
      <c r="U66" s="45"/>
    </row>
    <row r="67" spans="2:21" x14ac:dyDescent="0.35">
      <c r="B67" s="17" t="s">
        <v>648</v>
      </c>
      <c r="O67" s="352"/>
      <c r="P67" s="18"/>
      <c r="Q67" s="18"/>
      <c r="R67" s="18"/>
    </row>
    <row r="68" spans="2:21" x14ac:dyDescent="0.35">
      <c r="N68" s="45"/>
      <c r="O68" s="352"/>
      <c r="P68" s="44"/>
      <c r="Q68" s="44"/>
      <c r="R68" s="44"/>
    </row>
    <row r="69" spans="2:21" s="45" customFormat="1" x14ac:dyDescent="0.35">
      <c r="B69" s="26" t="s">
        <v>27</v>
      </c>
      <c r="D69" s="26" t="s">
        <v>77</v>
      </c>
      <c r="E69" s="28"/>
      <c r="F69" s="27"/>
      <c r="G69" s="74"/>
      <c r="H69" s="74"/>
      <c r="I69" s="74"/>
      <c r="J69" s="74"/>
      <c r="K69" s="74"/>
      <c r="L69" s="74"/>
      <c r="M69" s="74"/>
      <c r="N69" s="74"/>
      <c r="O69" s="352"/>
      <c r="P69" s="159"/>
      <c r="Q69" s="159"/>
      <c r="R69" s="44"/>
      <c r="S69" s="52" t="s">
        <v>22</v>
      </c>
      <c r="T69" s="53">
        <f>T15</f>
        <v>0</v>
      </c>
      <c r="U69" s="19"/>
    </row>
    <row r="70" spans="2:21" s="45" customFormat="1" ht="11.6" x14ac:dyDescent="0.35">
      <c r="D70" s="27"/>
      <c r="E70" s="28"/>
      <c r="F70" s="77"/>
      <c r="G70" s="48"/>
      <c r="H70" s="48"/>
      <c r="I70" s="48"/>
      <c r="J70" s="48"/>
      <c r="K70" s="48"/>
      <c r="L70" s="48"/>
      <c r="M70" s="48"/>
      <c r="N70" s="48"/>
      <c r="O70" s="352"/>
      <c r="P70" s="159"/>
      <c r="Q70" s="159"/>
      <c r="R70" s="44"/>
    </row>
    <row r="71" spans="2:21" s="45" customFormat="1" ht="11.6" x14ac:dyDescent="0.35">
      <c r="B71" s="26" t="s">
        <v>27</v>
      </c>
      <c r="C71" s="28"/>
      <c r="D71" s="39" t="s">
        <v>86</v>
      </c>
      <c r="E71" s="28"/>
      <c r="F71" s="23"/>
      <c r="G71" s="70"/>
      <c r="H71" s="70"/>
      <c r="I71" s="70"/>
      <c r="J71" s="70"/>
      <c r="K71" s="70"/>
      <c r="L71" s="70"/>
      <c r="M71" s="70"/>
      <c r="N71" s="78" t="s">
        <v>77</v>
      </c>
      <c r="O71" s="352"/>
      <c r="P71" s="42" t="s">
        <v>90</v>
      </c>
      <c r="Q71" s="42" t="s">
        <v>39</v>
      </c>
      <c r="R71" s="42" t="s">
        <v>40</v>
      </c>
      <c r="S71" s="21"/>
      <c r="T71" s="148"/>
    </row>
    <row r="72" spans="2:21" s="45" customFormat="1" ht="12.65" customHeight="1" x14ac:dyDescent="0.35">
      <c r="B72" s="39"/>
      <c r="C72" s="88" t="s">
        <v>18</v>
      </c>
      <c r="D72" s="89"/>
      <c r="E72" s="88" t="s">
        <v>80</v>
      </c>
      <c r="F72" s="88"/>
      <c r="G72" s="88"/>
      <c r="H72" s="88"/>
      <c r="I72" s="88"/>
      <c r="J72" s="88"/>
      <c r="K72" s="88"/>
      <c r="L72" s="111"/>
      <c r="M72" s="111"/>
      <c r="N72" s="91">
        <f>($U$1*O72)*(100%+Q72)</f>
        <v>0</v>
      </c>
      <c r="O72" s="352">
        <f t="shared" si="32"/>
        <v>3.5805000000000002</v>
      </c>
      <c r="P72" s="320">
        <v>3.41</v>
      </c>
      <c r="Q72" s="297">
        <v>1.23</v>
      </c>
      <c r="R72" s="298">
        <v>0.05</v>
      </c>
      <c r="S72" s="21"/>
      <c r="T72" s="148"/>
    </row>
    <row r="73" spans="2:21" s="92" customFormat="1" ht="12.65" customHeight="1" x14ac:dyDescent="0.35">
      <c r="B73" s="100"/>
      <c r="C73" s="88" t="s">
        <v>38</v>
      </c>
      <c r="D73" s="89"/>
      <c r="E73" s="88" t="s">
        <v>80</v>
      </c>
      <c r="F73" s="88"/>
      <c r="G73" s="88"/>
      <c r="H73" s="88"/>
      <c r="I73" s="88"/>
      <c r="J73" s="88"/>
      <c r="K73" s="88"/>
      <c r="L73" s="111"/>
      <c r="M73" s="111"/>
      <c r="N73" s="91">
        <f t="shared" ref="N73:N75" si="33">($U$1*O73)*(100%+Q73)</f>
        <v>0</v>
      </c>
      <c r="O73" s="352">
        <f t="shared" si="32"/>
        <v>3.7275</v>
      </c>
      <c r="P73" s="365">
        <v>3.55</v>
      </c>
      <c r="Q73" s="297">
        <v>1.82</v>
      </c>
      <c r="R73" s="298">
        <v>0.05</v>
      </c>
    </row>
    <row r="74" spans="2:21" s="45" customFormat="1" ht="12.65" customHeight="1" x14ac:dyDescent="0.35">
      <c r="B74" s="39"/>
      <c r="C74" s="88" t="s">
        <v>19</v>
      </c>
      <c r="D74" s="89"/>
      <c r="E74" s="88" t="s">
        <v>80</v>
      </c>
      <c r="F74" s="88"/>
      <c r="G74" s="88"/>
      <c r="H74" s="88"/>
      <c r="I74" s="88"/>
      <c r="J74" s="88"/>
      <c r="K74" s="88"/>
      <c r="L74" s="111"/>
      <c r="M74" s="111"/>
      <c r="N74" s="91">
        <f t="shared" si="33"/>
        <v>0</v>
      </c>
      <c r="O74" s="352">
        <f t="shared" si="32"/>
        <v>3.8955000000000002</v>
      </c>
      <c r="P74" s="365">
        <v>3.71</v>
      </c>
      <c r="Q74" s="297">
        <v>1.75</v>
      </c>
      <c r="R74" s="298">
        <v>0.05</v>
      </c>
    </row>
    <row r="75" spans="2:21" s="92" customFormat="1" ht="12.65" customHeight="1" x14ac:dyDescent="0.35">
      <c r="B75" s="100"/>
      <c r="C75" s="88" t="s">
        <v>82</v>
      </c>
      <c r="D75" s="89"/>
      <c r="E75" s="88" t="s">
        <v>80</v>
      </c>
      <c r="F75" s="88"/>
      <c r="G75" s="88"/>
      <c r="H75" s="88"/>
      <c r="I75" s="88"/>
      <c r="J75" s="88"/>
      <c r="K75" s="88"/>
      <c r="L75" s="111"/>
      <c r="M75" s="111"/>
      <c r="N75" s="91">
        <f t="shared" si="33"/>
        <v>0</v>
      </c>
      <c r="O75" s="352">
        <f t="shared" si="32"/>
        <v>4.9559999999999995</v>
      </c>
      <c r="P75" s="365">
        <v>4.72</v>
      </c>
      <c r="Q75" s="297">
        <v>1.1499999999999999</v>
      </c>
      <c r="R75" s="298">
        <v>0.05</v>
      </c>
      <c r="S75" s="120"/>
      <c r="T75" s="120"/>
    </row>
    <row r="76" spans="2:21" s="45" customFormat="1" x14ac:dyDescent="0.35">
      <c r="B76" s="26"/>
      <c r="C76" s="42"/>
      <c r="D76" s="26"/>
      <c r="E76" s="26"/>
      <c r="F76" s="26"/>
      <c r="G76" s="26"/>
      <c r="H76" s="26"/>
      <c r="I76" s="26"/>
      <c r="J76" s="26"/>
      <c r="K76" s="26"/>
      <c r="L76" s="26"/>
      <c r="N76" s="19"/>
      <c r="O76" s="19"/>
      <c r="P76" s="19"/>
      <c r="Q76" s="19"/>
      <c r="R76" s="19"/>
    </row>
    <row r="77" spans="2:21" x14ac:dyDescent="0.35">
      <c r="B77" s="17" t="s">
        <v>649</v>
      </c>
      <c r="L77" s="20"/>
      <c r="U77" s="45"/>
    </row>
    <row r="78" spans="2:21" ht="5.9" customHeight="1" x14ac:dyDescent="0.35">
      <c r="N78" s="45"/>
      <c r="O78" s="45"/>
      <c r="P78" s="45"/>
      <c r="Q78" s="45"/>
      <c r="R78" s="45"/>
    </row>
    <row r="79" spans="2:21" s="45" customFormat="1" x14ac:dyDescent="0.35">
      <c r="B79" s="26" t="s">
        <v>27</v>
      </c>
      <c r="D79" s="26" t="s">
        <v>84</v>
      </c>
      <c r="E79" s="27"/>
      <c r="F79" s="23"/>
      <c r="G79" s="39"/>
      <c r="H79" s="74"/>
      <c r="I79" s="74"/>
      <c r="J79" s="75"/>
      <c r="K79" s="67">
        <v>251</v>
      </c>
      <c r="L79" s="76">
        <f>K80+1</f>
        <v>301</v>
      </c>
      <c r="M79" s="76">
        <f>L80+1</f>
        <v>351</v>
      </c>
      <c r="N79" s="76">
        <f>M80+1</f>
        <v>401</v>
      </c>
      <c r="S79" s="52" t="s">
        <v>22</v>
      </c>
      <c r="T79" s="53">
        <f>W1</f>
        <v>49</v>
      </c>
      <c r="U79" s="19"/>
    </row>
    <row r="80" spans="2:21" s="45" customFormat="1" ht="11.6" x14ac:dyDescent="0.35">
      <c r="C80" s="27"/>
      <c r="D80" s="28"/>
      <c r="E80" s="27"/>
      <c r="F80" s="23"/>
      <c r="G80" s="70"/>
      <c r="H80" s="70"/>
      <c r="I80" s="70"/>
      <c r="J80" s="78" t="s">
        <v>26</v>
      </c>
      <c r="K80" s="96">
        <f>K79+$T$79</f>
        <v>300</v>
      </c>
      <c r="L80" s="96">
        <f>L79+$T$79</f>
        <v>350</v>
      </c>
      <c r="M80" s="96">
        <f>M79+$T$79</f>
        <v>400</v>
      </c>
      <c r="N80" s="96">
        <f>N79+$T$79</f>
        <v>450</v>
      </c>
      <c r="P80" s="165" t="s">
        <v>99</v>
      </c>
      <c r="Q80" s="26" t="s">
        <v>98</v>
      </c>
    </row>
    <row r="81" spans="2:19" s="45" customFormat="1" ht="5.25" customHeight="1" x14ac:dyDescent="0.35">
      <c r="C81" s="27"/>
      <c r="D81" s="28"/>
      <c r="E81" s="27"/>
      <c r="F81" s="27"/>
      <c r="G81" s="23"/>
      <c r="H81" s="27"/>
      <c r="I81" s="23"/>
      <c r="J81" s="59"/>
      <c r="K81" s="81"/>
      <c r="L81" s="81"/>
      <c r="M81" s="35"/>
      <c r="N81" s="59"/>
    </row>
    <row r="82" spans="2:19" s="92" customFormat="1" ht="12.65" customHeight="1" x14ac:dyDescent="0.35">
      <c r="B82" s="87"/>
      <c r="C82" s="100" t="s">
        <v>588</v>
      </c>
      <c r="D82" s="100"/>
      <c r="E82" s="100"/>
      <c r="F82" s="88"/>
      <c r="G82" s="88"/>
      <c r="H82" s="88"/>
      <c r="I82" s="88"/>
      <c r="J82" s="90"/>
      <c r="K82" s="91">
        <f>$U$1*Q82*$K$80/100</f>
        <v>0</v>
      </c>
      <c r="L82" s="91">
        <f>$U$1*Q82*$L$80/100</f>
        <v>0</v>
      </c>
      <c r="M82" s="91">
        <f>$U$1*Q82*$M$80/100</f>
        <v>0</v>
      </c>
      <c r="N82" s="91">
        <f>$U$1*Q82*$N$80/100</f>
        <v>0</v>
      </c>
      <c r="P82" s="166"/>
      <c r="Q82" s="101">
        <v>10.78</v>
      </c>
    </row>
    <row r="83" spans="2:19" s="101" customFormat="1" ht="12.65" customHeight="1" x14ac:dyDescent="0.35">
      <c r="B83" s="103">
        <v>9030020013</v>
      </c>
      <c r="C83" s="82" t="s">
        <v>650</v>
      </c>
      <c r="D83" s="82"/>
      <c r="E83" s="52"/>
      <c r="F83" s="52"/>
      <c r="G83" s="52"/>
      <c r="H83" s="52"/>
      <c r="I83" s="52"/>
      <c r="J83" s="118"/>
      <c r="K83" s="102">
        <f>$U$1*Q83*$K$80/100</f>
        <v>0</v>
      </c>
      <c r="L83" s="102">
        <f>$U$1*Q83*$L$80/100</f>
        <v>0</v>
      </c>
      <c r="M83" s="102">
        <f>$U$1*Q83*$M$80/100</f>
        <v>0</v>
      </c>
      <c r="N83" s="102">
        <f>$U$1*Q83*$N$80/100</f>
        <v>0</v>
      </c>
      <c r="P83" s="113">
        <v>8.01</v>
      </c>
      <c r="Q83" s="101">
        <v>8.86</v>
      </c>
    </row>
    <row r="84" spans="2:19" s="92" customFormat="1" ht="12.65" customHeight="1" x14ac:dyDescent="0.35">
      <c r="B84" s="87"/>
      <c r="C84" s="100" t="s">
        <v>590</v>
      </c>
      <c r="D84" s="100"/>
      <c r="E84" s="88"/>
      <c r="F84" s="88"/>
      <c r="G84" s="88"/>
      <c r="H84" s="88"/>
      <c r="I84" s="88"/>
      <c r="J84" s="90"/>
      <c r="K84" s="91">
        <f>$U$1*Q84*$K$80/100</f>
        <v>0</v>
      </c>
      <c r="L84" s="91">
        <f>$U$1*Q84*$L$80/100</f>
        <v>0</v>
      </c>
      <c r="M84" s="91">
        <f>$U$1*Q84*$M$80/100</f>
        <v>0</v>
      </c>
      <c r="N84" s="91">
        <f>$U$1*Q84*$N$80/100</f>
        <v>0</v>
      </c>
      <c r="P84" s="166"/>
      <c r="Q84" s="101">
        <v>8.83</v>
      </c>
    </row>
    <row r="85" spans="2:19" s="45" customFormat="1" ht="12.65" customHeight="1" x14ac:dyDescent="0.35">
      <c r="B85" s="83">
        <v>9030020003</v>
      </c>
      <c r="C85" s="39" t="s">
        <v>628</v>
      </c>
      <c r="D85" s="39"/>
      <c r="E85" s="26"/>
      <c r="F85" s="26"/>
      <c r="G85" s="26"/>
      <c r="H85" s="26"/>
      <c r="I85" s="26"/>
      <c r="J85" s="59"/>
      <c r="K85" s="102">
        <f>$U$1*Q85*$K$80/100</f>
        <v>0</v>
      </c>
      <c r="L85" s="102">
        <f>$U$1*Q85*$L$80/100</f>
        <v>0</v>
      </c>
      <c r="M85" s="102">
        <f>$U$1*Q85*$M$80/100</f>
        <v>0</v>
      </c>
      <c r="N85" s="102">
        <f>$U$1*Q85*$N$80/100</f>
        <v>0</v>
      </c>
      <c r="P85" s="165">
        <v>15.46</v>
      </c>
      <c r="Q85" s="101">
        <v>9.1</v>
      </c>
    </row>
    <row r="86" spans="2:19" s="45" customFormat="1" ht="12.65" customHeight="1" x14ac:dyDescent="0.35">
      <c r="B86" s="83">
        <v>9030020004</v>
      </c>
      <c r="C86" s="39" t="s">
        <v>651</v>
      </c>
      <c r="D86" s="39"/>
      <c r="E86" s="26"/>
      <c r="F86" s="26"/>
      <c r="G86" s="26"/>
      <c r="H86" s="26"/>
      <c r="I86" s="26"/>
      <c r="J86" s="59"/>
      <c r="K86" s="102">
        <f>$U$1*Q86*$K$80/100</f>
        <v>0</v>
      </c>
      <c r="L86" s="102">
        <f>$U$1*Q86*$L$80/100</f>
        <v>0</v>
      </c>
      <c r="M86" s="102">
        <f>$U$1*Q86*$M$80/100</f>
        <v>0</v>
      </c>
      <c r="N86" s="102">
        <f>$U$1*Q86*$N$80/100</f>
        <v>0</v>
      </c>
      <c r="P86" s="165">
        <v>14.23</v>
      </c>
      <c r="Q86" s="101">
        <v>14.26</v>
      </c>
    </row>
    <row r="87" spans="2:19" s="45" customFormat="1" ht="11.6" x14ac:dyDescent="0.35">
      <c r="B87" s="83"/>
      <c r="C87" s="39"/>
      <c r="D87" s="39"/>
      <c r="E87" s="26"/>
      <c r="F87" s="26"/>
      <c r="G87" s="26"/>
      <c r="H87" s="26"/>
      <c r="I87" s="26"/>
      <c r="J87" s="26"/>
      <c r="K87" s="111"/>
      <c r="L87" s="111"/>
      <c r="M87" s="111"/>
      <c r="N87" s="111"/>
      <c r="P87" s="165"/>
      <c r="Q87" s="101"/>
    </row>
    <row r="88" spans="2:19" s="92" customFormat="1" ht="12.65" customHeight="1" x14ac:dyDescent="0.35">
      <c r="B88" s="87"/>
      <c r="C88" s="100" t="s">
        <v>652</v>
      </c>
      <c r="D88" s="100"/>
      <c r="E88" s="88"/>
      <c r="F88" s="88"/>
      <c r="G88" s="88"/>
      <c r="H88" s="88"/>
      <c r="I88" s="88"/>
      <c r="J88" s="90"/>
      <c r="K88" s="91">
        <f>$U$1*Q88*$K$80/100</f>
        <v>0</v>
      </c>
      <c r="L88" s="91">
        <f>$U$1*Q88*$L$80/100</f>
        <v>0</v>
      </c>
      <c r="M88" s="91">
        <f>$U$1*Q88*$M$80/100</f>
        <v>0</v>
      </c>
      <c r="N88" s="91">
        <f>$U$1*Q88*$N$80/100</f>
        <v>0</v>
      </c>
      <c r="P88" s="166"/>
      <c r="Q88" s="101">
        <v>10.78</v>
      </c>
    </row>
    <row r="89" spans="2:19" s="101" customFormat="1" ht="12.65" customHeight="1" x14ac:dyDescent="0.35">
      <c r="B89" s="103">
        <v>9030020012</v>
      </c>
      <c r="C89" s="82" t="s">
        <v>653</v>
      </c>
      <c r="D89" s="82"/>
      <c r="E89" s="52"/>
      <c r="F89" s="52"/>
      <c r="G89" s="52"/>
      <c r="H89" s="52"/>
      <c r="I89" s="52"/>
      <c r="J89" s="118"/>
      <c r="K89" s="102">
        <f>$U$1*Q89*$K$80/100</f>
        <v>0</v>
      </c>
      <c r="L89" s="102">
        <f>$U$1*Q89*$L$80/100</f>
        <v>0</v>
      </c>
      <c r="M89" s="102">
        <f>$U$1*Q89*$M$80/100</f>
        <v>0</v>
      </c>
      <c r="N89" s="102">
        <f>$U$1*Q89*$N$80/100</f>
        <v>0</v>
      </c>
      <c r="P89" s="113">
        <v>8.01</v>
      </c>
      <c r="Q89" s="101">
        <v>8.86</v>
      </c>
    </row>
    <row r="90" spans="2:19" s="92" customFormat="1" ht="12.65" customHeight="1" x14ac:dyDescent="0.35">
      <c r="B90" s="87"/>
      <c r="C90" s="100" t="s">
        <v>595</v>
      </c>
      <c r="D90" s="100"/>
      <c r="E90" s="88"/>
      <c r="F90" s="88"/>
      <c r="G90" s="88"/>
      <c r="H90" s="88"/>
      <c r="I90" s="88"/>
      <c r="J90" s="90"/>
      <c r="K90" s="91">
        <f>$U$1*Q90*$K$80/100</f>
        <v>0</v>
      </c>
      <c r="L90" s="91">
        <f>$U$1*Q90*$L$80/100</f>
        <v>0</v>
      </c>
      <c r="M90" s="91">
        <f>$U$1*Q90*$M$80/100</f>
        <v>0</v>
      </c>
      <c r="N90" s="91">
        <f>$U$1*Q90*$N$80/100</f>
        <v>0</v>
      </c>
      <c r="P90" s="166"/>
      <c r="Q90" s="101">
        <v>8.83</v>
      </c>
    </row>
    <row r="91" spans="2:19" s="45" customFormat="1" ht="12.65" customHeight="1" x14ac:dyDescent="0.35">
      <c r="B91" s="83">
        <v>9030020001</v>
      </c>
      <c r="C91" s="39" t="s">
        <v>654</v>
      </c>
      <c r="D91" s="39"/>
      <c r="E91" s="26"/>
      <c r="F91" s="26"/>
      <c r="G91" s="26"/>
      <c r="H91" s="26"/>
      <c r="I91" s="26"/>
      <c r="J91" s="59"/>
      <c r="K91" s="102">
        <f>$U$1*Q91*$K$80/100</f>
        <v>0</v>
      </c>
      <c r="L91" s="102">
        <f>$U$1*Q91*$L$80/100</f>
        <v>0</v>
      </c>
      <c r="M91" s="102">
        <f>$U$1*Q91*$M$80/100</f>
        <v>0</v>
      </c>
      <c r="N91" s="102">
        <f>$U$1*Q91*$N$80/100</f>
        <v>0</v>
      </c>
      <c r="P91" s="165">
        <v>15.46</v>
      </c>
      <c r="Q91" s="101">
        <v>9.1</v>
      </c>
    </row>
    <row r="92" spans="2:19" s="45" customFormat="1" ht="12.65" customHeight="1" x14ac:dyDescent="0.35">
      <c r="B92" s="83">
        <v>9030020002</v>
      </c>
      <c r="C92" s="39" t="s">
        <v>655</v>
      </c>
      <c r="D92" s="39"/>
      <c r="E92" s="26"/>
      <c r="F92" s="26"/>
      <c r="G92" s="26"/>
      <c r="H92" s="26"/>
      <c r="I92" s="26"/>
      <c r="J92" s="59"/>
      <c r="K92" s="102">
        <f>$U$1*Q92*$K$80/100</f>
        <v>0</v>
      </c>
      <c r="L92" s="102">
        <f>$U$1*Q92*$L$80/100</f>
        <v>0</v>
      </c>
      <c r="M92" s="102">
        <f>$U$1*Q92*$M$80/100</f>
        <v>0</v>
      </c>
      <c r="N92" s="102">
        <f>$U$1*Q92*$N$80/100</f>
        <v>0</v>
      </c>
      <c r="P92" s="165">
        <v>14.23</v>
      </c>
      <c r="Q92" s="101">
        <v>14.26</v>
      </c>
      <c r="R92" s="19"/>
      <c r="S92" s="19"/>
    </row>
    <row r="93" spans="2:19" s="45" customFormat="1" ht="12.45" customHeight="1" x14ac:dyDescent="0.35">
      <c r="B93" s="83"/>
      <c r="C93" s="39"/>
      <c r="D93" s="39"/>
      <c r="E93" s="26"/>
      <c r="F93" s="26"/>
      <c r="G93" s="26"/>
      <c r="H93" s="26"/>
      <c r="I93" s="26"/>
      <c r="J93" s="26"/>
      <c r="K93" s="106"/>
      <c r="L93" s="106"/>
      <c r="M93" s="106"/>
      <c r="N93" s="106"/>
      <c r="P93" s="165"/>
      <c r="Q93" s="101"/>
      <c r="R93" s="19"/>
      <c r="S93" s="19"/>
    </row>
    <row r="94" spans="2:19" s="45" customFormat="1" ht="12.45" customHeight="1" x14ac:dyDescent="0.35">
      <c r="B94" s="83"/>
      <c r="C94" s="39"/>
      <c r="D94" s="39"/>
      <c r="E94" s="26"/>
      <c r="F94" s="26"/>
      <c r="G94" s="26"/>
      <c r="H94" s="26"/>
      <c r="I94" s="26"/>
      <c r="J94" s="26"/>
      <c r="K94" s="106"/>
      <c r="L94" s="106"/>
      <c r="M94" s="106"/>
      <c r="N94" s="106"/>
      <c r="P94" s="165"/>
      <c r="Q94" s="101"/>
      <c r="R94" s="19"/>
      <c r="S94" s="19"/>
    </row>
    <row r="95" spans="2:19" s="45" customFormat="1" ht="12.45" customHeight="1" x14ac:dyDescent="0.35">
      <c r="B95" s="83"/>
      <c r="C95" s="39"/>
      <c r="D95" s="39"/>
      <c r="E95" s="26"/>
      <c r="F95" s="26"/>
      <c r="G95" s="26"/>
      <c r="H95" s="26"/>
      <c r="I95" s="26"/>
      <c r="J95" s="26"/>
      <c r="K95" s="106"/>
      <c r="L95" s="106"/>
      <c r="M95" s="106"/>
      <c r="N95" s="106"/>
      <c r="P95" s="165"/>
      <c r="Q95" s="101"/>
      <c r="R95" s="19"/>
      <c r="S95" s="19"/>
    </row>
    <row r="96" spans="2:19" s="45" customFormat="1" ht="12.45" customHeight="1" x14ac:dyDescent="0.35">
      <c r="B96" s="83"/>
      <c r="C96" s="39"/>
      <c r="D96" s="39"/>
      <c r="E96" s="26"/>
      <c r="F96" s="26"/>
      <c r="G96" s="26"/>
      <c r="H96" s="26"/>
      <c r="I96" s="26"/>
      <c r="J96" s="26"/>
      <c r="K96" s="106"/>
      <c r="L96" s="106"/>
      <c r="M96" s="106"/>
      <c r="N96" s="106"/>
      <c r="P96" s="165"/>
      <c r="Q96" s="101"/>
      <c r="R96" s="19"/>
      <c r="S96" s="19"/>
    </row>
    <row r="97" spans="2:21" s="45" customFormat="1" ht="12.45" customHeight="1" x14ac:dyDescent="0.35">
      <c r="B97" s="83"/>
      <c r="C97" s="39"/>
      <c r="D97" s="39"/>
      <c r="E97" s="26"/>
      <c r="F97" s="26"/>
      <c r="G97" s="26"/>
      <c r="H97" s="26"/>
      <c r="I97" s="26"/>
      <c r="J97" s="26"/>
      <c r="K97" s="106"/>
      <c r="L97" s="106"/>
      <c r="M97" s="106"/>
      <c r="N97" s="106"/>
      <c r="P97" s="165"/>
      <c r="Q97" s="101"/>
      <c r="R97" s="19"/>
      <c r="S97" s="19"/>
    </row>
    <row r="98" spans="2:21" s="45" customFormat="1" ht="12.45" customHeight="1" x14ac:dyDescent="0.35">
      <c r="B98" s="83"/>
      <c r="C98" s="39"/>
      <c r="D98" s="39"/>
      <c r="E98" s="26"/>
      <c r="F98" s="26"/>
      <c r="G98" s="26"/>
      <c r="H98" s="26"/>
      <c r="I98" s="26"/>
      <c r="J98" s="26"/>
      <c r="K98" s="106"/>
      <c r="L98" s="106"/>
      <c r="M98" s="106"/>
      <c r="N98" s="106"/>
      <c r="P98" s="165"/>
      <c r="Q98" s="101"/>
      <c r="R98" s="19"/>
      <c r="S98" s="19"/>
    </row>
    <row r="99" spans="2:21" s="45" customFormat="1" ht="12.45" customHeight="1" x14ac:dyDescent="0.35">
      <c r="B99" s="83"/>
      <c r="C99" s="39"/>
      <c r="D99" s="39"/>
      <c r="E99" s="26"/>
      <c r="F99" s="26"/>
      <c r="G99" s="26"/>
      <c r="H99" s="26"/>
      <c r="I99" s="26"/>
      <c r="J99" s="26"/>
      <c r="K99" s="106"/>
      <c r="L99" s="106"/>
      <c r="M99" s="106"/>
      <c r="N99" s="106"/>
      <c r="P99" s="165"/>
      <c r="Q99" s="101"/>
      <c r="R99" s="19"/>
      <c r="S99" s="19"/>
    </row>
    <row r="100" spans="2:21" s="45" customFormat="1" ht="12.45" customHeight="1" x14ac:dyDescent="0.35">
      <c r="B100" s="83"/>
      <c r="C100" s="39"/>
      <c r="D100" s="39"/>
      <c r="E100" s="26"/>
      <c r="F100" s="26"/>
      <c r="G100" s="26"/>
      <c r="H100" s="26"/>
      <c r="I100" s="26"/>
      <c r="J100" s="26"/>
      <c r="K100" s="106"/>
      <c r="L100" s="106"/>
      <c r="M100" s="106"/>
      <c r="N100" s="106"/>
      <c r="P100" s="165"/>
      <c r="Q100" s="101"/>
      <c r="R100" s="19"/>
      <c r="S100" s="19"/>
    </row>
    <row r="101" spans="2:21" s="45" customFormat="1" ht="12.45" customHeight="1" x14ac:dyDescent="0.35">
      <c r="B101" s="83"/>
      <c r="C101" s="39"/>
      <c r="D101" s="39"/>
      <c r="E101" s="26"/>
      <c r="F101" s="26"/>
      <c r="G101" s="26"/>
      <c r="H101" s="26"/>
      <c r="I101" s="26"/>
      <c r="J101" s="26"/>
      <c r="K101" s="106"/>
      <c r="L101" s="106"/>
      <c r="M101" s="106"/>
      <c r="N101" s="106"/>
      <c r="P101" s="165"/>
      <c r="Q101" s="101"/>
      <c r="R101" s="19"/>
      <c r="S101" s="19"/>
    </row>
    <row r="102" spans="2:21" s="45" customFormat="1" ht="12.45" customHeight="1" x14ac:dyDescent="0.35">
      <c r="B102" s="83"/>
      <c r="C102" s="39"/>
      <c r="D102" s="39"/>
      <c r="E102" s="26"/>
      <c r="F102" s="26"/>
      <c r="G102" s="26"/>
      <c r="H102" s="26"/>
      <c r="I102" s="26"/>
      <c r="J102" s="26"/>
      <c r="K102" s="106"/>
      <c r="L102" s="106"/>
      <c r="M102" s="106"/>
      <c r="N102" s="106"/>
      <c r="P102" s="165"/>
      <c r="Q102" s="101"/>
      <c r="R102" s="19"/>
      <c r="S102" s="19"/>
    </row>
    <row r="103" spans="2:21" s="45" customFormat="1" ht="12.45" customHeight="1" x14ac:dyDescent="0.35">
      <c r="B103" s="83"/>
      <c r="C103" s="39"/>
      <c r="D103" s="39"/>
      <c r="E103" s="26"/>
      <c r="F103" s="26"/>
      <c r="G103" s="26"/>
      <c r="H103" s="26"/>
      <c r="I103" s="26"/>
      <c r="J103" s="26"/>
      <c r="K103" s="106"/>
      <c r="L103" s="106"/>
      <c r="M103" s="106"/>
      <c r="N103" s="106"/>
      <c r="P103" s="165"/>
      <c r="Q103" s="101"/>
      <c r="R103" s="19"/>
      <c r="S103" s="19"/>
    </row>
    <row r="104" spans="2:21" s="45" customFormat="1" ht="12.45" customHeight="1" x14ac:dyDescent="0.35">
      <c r="B104" s="83"/>
      <c r="C104" s="39"/>
      <c r="D104" s="39"/>
      <c r="E104" s="26"/>
      <c r="F104" s="26"/>
      <c r="G104" s="26"/>
      <c r="H104" s="26"/>
      <c r="I104" s="26"/>
      <c r="J104" s="26"/>
      <c r="K104" s="106"/>
      <c r="L104" s="106"/>
      <c r="M104" s="106"/>
      <c r="N104" s="106"/>
      <c r="P104" s="165"/>
      <c r="Q104" s="101"/>
      <c r="R104" s="19"/>
      <c r="S104" s="19"/>
    </row>
    <row r="107" spans="2:21" x14ac:dyDescent="0.35">
      <c r="B107" s="17" t="s">
        <v>73</v>
      </c>
      <c r="L107" s="20"/>
    </row>
    <row r="108" spans="2:21" ht="6.65" customHeight="1" x14ac:dyDescent="0.35">
      <c r="N108" s="45"/>
      <c r="O108" s="45"/>
      <c r="P108" s="45"/>
      <c r="Q108" s="45"/>
      <c r="R108" s="45"/>
    </row>
    <row r="109" spans="2:21" s="45" customFormat="1" x14ac:dyDescent="0.35">
      <c r="B109" s="26" t="s">
        <v>27</v>
      </c>
      <c r="C109" s="28"/>
      <c r="D109" s="26" t="s">
        <v>84</v>
      </c>
      <c r="E109" s="28"/>
      <c r="F109" s="39"/>
      <c r="G109" s="39"/>
      <c r="H109" s="74"/>
      <c r="I109" s="74"/>
      <c r="J109" s="75"/>
      <c r="K109" s="67">
        <v>251</v>
      </c>
      <c r="L109" s="76">
        <f>K110+1</f>
        <v>301</v>
      </c>
      <c r="M109" s="76">
        <f>L110+1</f>
        <v>351</v>
      </c>
      <c r="N109" s="76">
        <f>M110+1</f>
        <v>401</v>
      </c>
      <c r="S109" s="52" t="s">
        <v>22</v>
      </c>
      <c r="T109" s="53">
        <f>W1</f>
        <v>49</v>
      </c>
      <c r="U109" s="19"/>
    </row>
    <row r="110" spans="2:21" s="45" customFormat="1" ht="11.6" x14ac:dyDescent="0.35">
      <c r="C110" s="28"/>
      <c r="D110" s="27"/>
      <c r="E110" s="28"/>
      <c r="F110" s="23"/>
      <c r="G110" s="70"/>
      <c r="H110" s="70"/>
      <c r="I110" s="70"/>
      <c r="J110" s="78" t="s">
        <v>26</v>
      </c>
      <c r="K110" s="96">
        <f>K109+$T$109</f>
        <v>300</v>
      </c>
      <c r="L110" s="96">
        <f>L109+$T$109</f>
        <v>350</v>
      </c>
      <c r="M110" s="96">
        <f>M109+$T$109</f>
        <v>400</v>
      </c>
      <c r="N110" s="96">
        <f>N109+$T$109</f>
        <v>450</v>
      </c>
      <c r="Q110" s="26" t="s">
        <v>98</v>
      </c>
    </row>
    <row r="111" spans="2:21" s="45" customFormat="1" ht="11.6" x14ac:dyDescent="0.35">
      <c r="C111" s="28"/>
      <c r="D111" s="27"/>
      <c r="E111" s="28"/>
      <c r="F111" s="27"/>
      <c r="G111" s="27"/>
      <c r="H111" s="27"/>
      <c r="I111" s="23"/>
      <c r="J111" s="80"/>
      <c r="K111" s="81"/>
      <c r="L111" s="81"/>
      <c r="M111" s="35"/>
      <c r="N111" s="81"/>
    </row>
    <row r="112" spans="2:21" s="92" customFormat="1" ht="12.65" customHeight="1" x14ac:dyDescent="0.35">
      <c r="B112" s="100"/>
      <c r="C112" s="100" t="s">
        <v>588</v>
      </c>
      <c r="D112" s="100"/>
      <c r="F112" s="88"/>
      <c r="G112" s="88"/>
      <c r="H112" s="88"/>
      <c r="I112" s="88"/>
      <c r="J112" s="90"/>
      <c r="K112" s="91">
        <f>$U$1*Q112*$K$110/100</f>
        <v>0</v>
      </c>
      <c r="L112" s="91">
        <f>$U$1*Q112*$L$110/100</f>
        <v>0</v>
      </c>
      <c r="M112" s="91">
        <f>$U$1*Q112*$M$110/100</f>
        <v>0</v>
      </c>
      <c r="N112" s="91">
        <f>$U$1*Q112*$N$110/100</f>
        <v>0</v>
      </c>
      <c r="Q112" s="105">
        <v>6.2</v>
      </c>
    </row>
    <row r="113" spans="2:21" s="92" customFormat="1" ht="12.65" customHeight="1" x14ac:dyDescent="0.35">
      <c r="B113" s="100"/>
      <c r="C113" s="100" t="s">
        <v>656</v>
      </c>
      <c r="D113" s="100"/>
      <c r="F113" s="88"/>
      <c r="G113" s="88"/>
      <c r="H113" s="88"/>
      <c r="I113" s="88"/>
      <c r="J113" s="90"/>
      <c r="K113" s="91">
        <f>$U$1*Q113*$K$110/100</f>
        <v>0</v>
      </c>
      <c r="L113" s="91">
        <f>$U$1*Q113*$L$110/100</f>
        <v>0</v>
      </c>
      <c r="M113" s="91">
        <f>$U$1*Q113*$M$110/100</f>
        <v>0</v>
      </c>
      <c r="N113" s="91">
        <f>$U$1*Q113*$N$110/100</f>
        <v>0</v>
      </c>
      <c r="Q113" s="105">
        <v>6.07</v>
      </c>
    </row>
    <row r="114" spans="2:21" s="92" customFormat="1" ht="12.65" customHeight="1" x14ac:dyDescent="0.35">
      <c r="B114" s="100"/>
      <c r="C114" s="100" t="s">
        <v>590</v>
      </c>
      <c r="D114" s="100"/>
      <c r="F114" s="88"/>
      <c r="G114" s="88"/>
      <c r="H114" s="88"/>
      <c r="I114" s="88"/>
      <c r="J114" s="90"/>
      <c r="K114" s="91">
        <f>$U$1*Q114*$K$110/100</f>
        <v>0</v>
      </c>
      <c r="L114" s="91">
        <f>$U$1*Q114*$L$110/100</f>
        <v>0</v>
      </c>
      <c r="M114" s="91">
        <f>$U$1*Q114*$M$110/100</f>
        <v>0</v>
      </c>
      <c r="N114" s="91">
        <f>$U$1*Q114*$N$110/100</f>
        <v>0</v>
      </c>
      <c r="Q114" s="105">
        <v>6.3</v>
      </c>
    </row>
    <row r="115" spans="2:21" s="92" customFormat="1" ht="12.65" customHeight="1" x14ac:dyDescent="0.35">
      <c r="B115" s="100"/>
      <c r="C115" s="100" t="s">
        <v>657</v>
      </c>
      <c r="D115" s="88"/>
      <c r="F115" s="88"/>
      <c r="G115" s="88"/>
      <c r="H115" s="88"/>
      <c r="I115" s="88"/>
      <c r="J115" s="90"/>
      <c r="K115" s="91">
        <f>$U$1*Q115*$K$110/100</f>
        <v>0</v>
      </c>
      <c r="L115" s="91">
        <f>$U$1*Q115*$L$110/100</f>
        <v>0</v>
      </c>
      <c r="M115" s="91">
        <f>$U$1*Q115*$M$110/100</f>
        <v>0</v>
      </c>
      <c r="N115" s="91">
        <f>$U$1*Q115*$N$110/100</f>
        <v>0</v>
      </c>
      <c r="Q115" s="105">
        <v>6.47</v>
      </c>
    </row>
    <row r="116" spans="2:21" s="92" customFormat="1" ht="12.65" customHeight="1" x14ac:dyDescent="0.35">
      <c r="B116" s="100"/>
      <c r="C116" s="100" t="s">
        <v>658</v>
      </c>
      <c r="D116" s="88"/>
      <c r="F116" s="88"/>
      <c r="G116" s="88"/>
      <c r="H116" s="88"/>
      <c r="I116" s="88"/>
      <c r="J116" s="90"/>
      <c r="K116" s="91">
        <f>$U$1*Q116*$K$110/100</f>
        <v>0</v>
      </c>
      <c r="L116" s="91">
        <f>$U$1*Q116*$L$110/100</f>
        <v>0</v>
      </c>
      <c r="M116" s="91">
        <f>$U$1*Q116*$M$110/100</f>
        <v>0</v>
      </c>
      <c r="N116" s="91">
        <f>$U$1*Q116*$N$110/100</f>
        <v>0</v>
      </c>
      <c r="Q116" s="105">
        <v>8.75</v>
      </c>
    </row>
    <row r="117" spans="2:21" s="45" customFormat="1" ht="12.65" customHeight="1" x14ac:dyDescent="0.35">
      <c r="B117" s="39"/>
      <c r="C117" s="39"/>
      <c r="D117" s="26"/>
      <c r="F117" s="26"/>
      <c r="G117" s="26"/>
      <c r="H117" s="26"/>
      <c r="I117" s="26"/>
      <c r="J117" s="26"/>
      <c r="K117" s="111"/>
      <c r="L117" s="111"/>
      <c r="M117" s="111"/>
      <c r="N117" s="111"/>
      <c r="Q117" s="105"/>
    </row>
    <row r="118" spans="2:21" s="92" customFormat="1" ht="12.65" customHeight="1" x14ac:dyDescent="0.35">
      <c r="B118" s="100"/>
      <c r="C118" s="100" t="s">
        <v>593</v>
      </c>
      <c r="D118" s="88"/>
      <c r="F118" s="88"/>
      <c r="G118" s="88"/>
      <c r="H118" s="88"/>
      <c r="I118" s="88"/>
      <c r="J118" s="90"/>
      <c r="K118" s="91">
        <f>$U$1*Q118*$K$110/100</f>
        <v>0</v>
      </c>
      <c r="L118" s="91">
        <f>$U$1*Q118*$L$110/100</f>
        <v>0</v>
      </c>
      <c r="M118" s="91">
        <f>$U$1*Q118*$M$110/100</f>
        <v>0</v>
      </c>
      <c r="N118" s="91">
        <f>$U$1*Q118*$N$110/100</f>
        <v>0</v>
      </c>
      <c r="Q118" s="105">
        <v>6.2</v>
      </c>
    </row>
    <row r="119" spans="2:21" s="92" customFormat="1" ht="12.65" customHeight="1" x14ac:dyDescent="0.35">
      <c r="B119" s="100"/>
      <c r="C119" s="100" t="s">
        <v>659</v>
      </c>
      <c r="D119" s="88"/>
      <c r="F119" s="88"/>
      <c r="G119" s="88"/>
      <c r="H119" s="88"/>
      <c r="I119" s="88"/>
      <c r="J119" s="90"/>
      <c r="K119" s="91">
        <f>$U$1*Q119*$K$110/100</f>
        <v>0</v>
      </c>
      <c r="L119" s="91">
        <f>$U$1*Q119*$L$110/100</f>
        <v>0</v>
      </c>
      <c r="M119" s="91">
        <f>$U$1*Q119*$M$110/100</f>
        <v>0</v>
      </c>
      <c r="N119" s="91">
        <f>$U$1*Q119*$N$110/100</f>
        <v>0</v>
      </c>
      <c r="Q119" s="105">
        <v>6.07</v>
      </c>
    </row>
    <row r="120" spans="2:21" s="92" customFormat="1" ht="12.65" customHeight="1" x14ac:dyDescent="0.35">
      <c r="B120" s="100"/>
      <c r="C120" s="100" t="s">
        <v>595</v>
      </c>
      <c r="D120" s="88"/>
      <c r="F120" s="88"/>
      <c r="G120" s="88"/>
      <c r="H120" s="88"/>
      <c r="I120" s="88"/>
      <c r="J120" s="90"/>
      <c r="K120" s="91">
        <f>$U$1*Q120*$K$110/100</f>
        <v>0</v>
      </c>
      <c r="L120" s="91">
        <f>$U$1*Q120*$L$110/100</f>
        <v>0</v>
      </c>
      <c r="M120" s="91">
        <f>$U$1*Q120*$M$110/100</f>
        <v>0</v>
      </c>
      <c r="N120" s="91">
        <f>$U$1*Q120*$N$110/100</f>
        <v>0</v>
      </c>
      <c r="Q120" s="105">
        <v>6.3</v>
      </c>
    </row>
    <row r="121" spans="2:21" s="92" customFormat="1" ht="12.65" customHeight="1" x14ac:dyDescent="0.35">
      <c r="B121" s="100"/>
      <c r="C121" s="100" t="s">
        <v>660</v>
      </c>
      <c r="D121" s="88"/>
      <c r="F121" s="88"/>
      <c r="G121" s="88"/>
      <c r="H121" s="88"/>
      <c r="I121" s="88"/>
      <c r="J121" s="90"/>
      <c r="K121" s="91">
        <f>$U$1*Q121*$K$110/100</f>
        <v>0</v>
      </c>
      <c r="L121" s="91">
        <f>$U$1*Q121*$L$110/100</f>
        <v>0</v>
      </c>
      <c r="M121" s="91">
        <f>$U$1*Q121*$M$110/100</f>
        <v>0</v>
      </c>
      <c r="N121" s="91">
        <f>$U$1*Q121*$N$110/100</f>
        <v>0</v>
      </c>
      <c r="Q121" s="105">
        <v>6.47</v>
      </c>
    </row>
    <row r="122" spans="2:21" s="92" customFormat="1" ht="12.65" customHeight="1" x14ac:dyDescent="0.35">
      <c r="B122" s="100"/>
      <c r="C122" s="100" t="s">
        <v>661</v>
      </c>
      <c r="D122" s="88"/>
      <c r="F122" s="88"/>
      <c r="G122" s="88"/>
      <c r="H122" s="88"/>
      <c r="I122" s="88"/>
      <c r="J122" s="90"/>
      <c r="K122" s="91">
        <f>$U$1*Q122*$K$110/100</f>
        <v>0</v>
      </c>
      <c r="L122" s="91">
        <f>$U$1*Q122*$L$110/100</f>
        <v>0</v>
      </c>
      <c r="M122" s="91">
        <f>$U$1*Q122*$M$110/100</f>
        <v>0</v>
      </c>
      <c r="N122" s="91">
        <f>$U$1*Q122*$N$110/100</f>
        <v>0</v>
      </c>
      <c r="O122" s="120"/>
      <c r="P122" s="120"/>
      <c r="Q122" s="105">
        <v>8.75</v>
      </c>
      <c r="R122" s="120"/>
    </row>
    <row r="123" spans="2:21" s="45" customFormat="1" x14ac:dyDescent="0.35">
      <c r="B123" s="39"/>
      <c r="C123" s="39"/>
      <c r="D123" s="26"/>
      <c r="F123" s="26"/>
      <c r="G123" s="26"/>
      <c r="H123" s="26"/>
      <c r="I123" s="26"/>
      <c r="J123" s="26"/>
      <c r="K123" s="26"/>
      <c r="L123" s="26"/>
      <c r="M123" s="26"/>
      <c r="N123" s="19"/>
      <c r="O123" s="19"/>
      <c r="P123" s="19"/>
      <c r="Q123" s="19"/>
      <c r="R123" s="19"/>
    </row>
    <row r="124" spans="2:21" x14ac:dyDescent="0.35">
      <c r="U124" s="45"/>
    </row>
    <row r="125" spans="2:21" x14ac:dyDescent="0.35">
      <c r="B125" s="17" t="s">
        <v>74</v>
      </c>
    </row>
    <row r="126" spans="2:21" x14ac:dyDescent="0.35">
      <c r="N126" s="45"/>
      <c r="O126" s="45"/>
      <c r="R126" s="45"/>
    </row>
    <row r="127" spans="2:21" s="45" customFormat="1" ht="11.6" x14ac:dyDescent="0.35">
      <c r="B127" s="26" t="s">
        <v>27</v>
      </c>
      <c r="C127" s="28"/>
      <c r="D127" s="39" t="s">
        <v>86</v>
      </c>
      <c r="E127" s="28"/>
      <c r="F127" s="23"/>
      <c r="G127" s="70"/>
      <c r="H127" s="70"/>
      <c r="I127" s="70"/>
      <c r="J127" s="70"/>
      <c r="K127" s="70"/>
      <c r="L127" s="70"/>
      <c r="M127" s="70"/>
      <c r="N127" s="78" t="s">
        <v>77</v>
      </c>
      <c r="O127" s="346"/>
      <c r="P127" s="42" t="s">
        <v>90</v>
      </c>
      <c r="Q127" s="42"/>
      <c r="R127" s="133" t="s">
        <v>39</v>
      </c>
    </row>
    <row r="128" spans="2:21" s="92" customFormat="1" ht="12.65" customHeight="1" x14ac:dyDescent="0.35">
      <c r="B128" s="103">
        <v>9030020014</v>
      </c>
      <c r="C128" s="82" t="s">
        <v>2</v>
      </c>
      <c r="D128" s="52"/>
      <c r="E128" s="52"/>
      <c r="F128" s="52"/>
      <c r="G128" s="52"/>
      <c r="H128" s="52"/>
      <c r="I128" s="52"/>
      <c r="J128" s="52"/>
      <c r="K128" s="52"/>
      <c r="L128" s="52"/>
      <c r="M128" s="118"/>
      <c r="N128" s="102">
        <f>($U$1*P128)*(100%+R128)*(100%+$T$60)</f>
        <v>0</v>
      </c>
      <c r="P128" s="320">
        <v>0.56999999999999995</v>
      </c>
      <c r="Q128" s="275"/>
      <c r="R128" s="296">
        <v>1.4</v>
      </c>
    </row>
    <row r="129" spans="2:22" s="92" customFormat="1" ht="12.65" customHeight="1" x14ac:dyDescent="0.35">
      <c r="B129" s="87"/>
      <c r="C129" s="100" t="s">
        <v>36</v>
      </c>
      <c r="D129" s="88"/>
      <c r="E129" s="88"/>
      <c r="F129" s="88"/>
      <c r="G129" s="88"/>
      <c r="H129" s="88"/>
      <c r="I129" s="88"/>
      <c r="J129" s="88"/>
      <c r="K129" s="88"/>
      <c r="L129" s="88"/>
      <c r="M129" s="90"/>
      <c r="N129" s="91">
        <f>($U$1*P129)*(100%+R129)*(100%+$T$60)</f>
        <v>0</v>
      </c>
      <c r="P129" s="320">
        <v>0.56999999999999995</v>
      </c>
      <c r="Q129" s="275"/>
      <c r="R129" s="296">
        <v>1.4</v>
      </c>
    </row>
    <row r="130" spans="2:22" s="45" customFormat="1" ht="12.65" customHeight="1" x14ac:dyDescent="0.35">
      <c r="B130" s="83">
        <v>9030020005</v>
      </c>
      <c r="C130" s="39" t="s">
        <v>1</v>
      </c>
      <c r="D130" s="26"/>
      <c r="E130" s="26"/>
      <c r="F130" s="26"/>
      <c r="G130" s="26"/>
      <c r="H130" s="26"/>
      <c r="I130" s="26"/>
      <c r="J130" s="26"/>
      <c r="K130" s="26"/>
      <c r="L130" s="26"/>
      <c r="M130" s="59"/>
      <c r="N130" s="102">
        <f>($U$1*P130)*(100%+R130)*(100%+$T$60)</f>
        <v>0</v>
      </c>
      <c r="P130" s="320">
        <v>0.56999999999999995</v>
      </c>
      <c r="Q130" s="275"/>
      <c r="R130" s="296">
        <v>1.4</v>
      </c>
    </row>
    <row r="131" spans="2:22" s="45" customFormat="1" ht="12.65" customHeight="1" x14ac:dyDescent="0.35">
      <c r="B131" s="83">
        <v>9030020006</v>
      </c>
      <c r="C131" s="39" t="s">
        <v>3</v>
      </c>
      <c r="D131" s="26"/>
      <c r="E131" s="26"/>
      <c r="F131" s="26"/>
      <c r="G131" s="26"/>
      <c r="H131" s="26"/>
      <c r="I131" s="26"/>
      <c r="J131" s="26"/>
      <c r="K131" s="26"/>
      <c r="L131" s="26"/>
      <c r="M131" s="59"/>
      <c r="N131" s="102">
        <f>($U$1*P131)*(100%+R131)*(100%+$T$60)</f>
        <v>0</v>
      </c>
      <c r="O131" s="19"/>
      <c r="P131" s="320">
        <v>1.02</v>
      </c>
      <c r="Q131" s="275"/>
      <c r="R131" s="296">
        <v>1.08</v>
      </c>
      <c r="S131" s="19"/>
    </row>
    <row r="132" spans="2:22" x14ac:dyDescent="0.35">
      <c r="P132" s="18"/>
      <c r="Q132" s="18"/>
      <c r="R132" s="18"/>
      <c r="V132" s="45"/>
    </row>
    <row r="133" spans="2:22" x14ac:dyDescent="0.35">
      <c r="B133" s="17" t="s">
        <v>75</v>
      </c>
      <c r="P133" s="18"/>
      <c r="Q133" s="18"/>
      <c r="R133" s="18"/>
    </row>
    <row r="134" spans="2:22" x14ac:dyDescent="0.35">
      <c r="N134" s="45"/>
      <c r="O134" s="45"/>
      <c r="P134" s="44"/>
      <c r="Q134" s="44"/>
      <c r="R134" s="44"/>
      <c r="S134" s="45"/>
    </row>
    <row r="135" spans="2:22" s="45" customFormat="1" ht="11.6" x14ac:dyDescent="0.35">
      <c r="B135" s="26" t="s">
        <v>27</v>
      </c>
      <c r="C135" s="28"/>
      <c r="D135" s="39" t="s">
        <v>86</v>
      </c>
      <c r="E135" s="28"/>
      <c r="F135" s="23"/>
      <c r="G135" s="70"/>
      <c r="H135" s="70"/>
      <c r="I135" s="70"/>
      <c r="J135" s="70"/>
      <c r="K135" s="70"/>
      <c r="L135" s="70"/>
      <c r="M135" s="70"/>
      <c r="N135" s="78" t="s">
        <v>77</v>
      </c>
      <c r="O135" s="346" t="s">
        <v>90</v>
      </c>
      <c r="P135" s="42" t="s">
        <v>422</v>
      </c>
      <c r="Q135" s="42" t="s">
        <v>30</v>
      </c>
      <c r="R135" s="133" t="s">
        <v>39</v>
      </c>
    </row>
    <row r="136" spans="2:22" s="92" customFormat="1" ht="12.65" customHeight="1" x14ac:dyDescent="0.35">
      <c r="B136" s="100"/>
      <c r="C136" s="100" t="s">
        <v>15</v>
      </c>
      <c r="D136" s="88"/>
      <c r="E136" s="88"/>
      <c r="F136" s="88"/>
      <c r="G136" s="88"/>
      <c r="H136" s="88"/>
      <c r="I136" s="88"/>
      <c r="J136" s="88"/>
      <c r="K136" s="88"/>
      <c r="L136" s="88"/>
      <c r="M136" s="90"/>
      <c r="N136" s="91">
        <f>($U$1*P136)*(100%+R136)*(100%+$T$60)</f>
        <v>0</v>
      </c>
      <c r="O136" s="352">
        <f>P136*(100%-Q136)</f>
        <v>0.72324000000000011</v>
      </c>
      <c r="P136" s="320">
        <v>1.23</v>
      </c>
      <c r="Q136" s="353">
        <v>0.41199999999999998</v>
      </c>
      <c r="R136" s="296">
        <v>1.2</v>
      </c>
    </row>
    <row r="137" spans="2:22" s="92" customFormat="1" ht="12.65" customHeight="1" x14ac:dyDescent="0.35">
      <c r="B137" s="100"/>
      <c r="C137" s="100" t="s">
        <v>42</v>
      </c>
      <c r="D137" s="88"/>
      <c r="E137" s="88"/>
      <c r="F137" s="88"/>
      <c r="G137" s="88"/>
      <c r="H137" s="88"/>
      <c r="I137" s="88"/>
      <c r="J137" s="88"/>
      <c r="K137" s="88"/>
      <c r="L137" s="88"/>
      <c r="M137" s="90"/>
      <c r="N137" s="91">
        <f>($U$1*P137)*(100%+R137)*(100%+$T$60)</f>
        <v>0</v>
      </c>
      <c r="O137" s="352">
        <f t="shared" ref="O137:O139" si="34">P137*(100%-Q137)</f>
        <v>0.82320000000000004</v>
      </c>
      <c r="P137" s="320">
        <v>1.4</v>
      </c>
      <c r="Q137" s="353">
        <v>0.41199999999999998</v>
      </c>
      <c r="R137" s="296">
        <v>1.2</v>
      </c>
    </row>
    <row r="138" spans="2:22" s="92" customFormat="1" ht="12.65" customHeight="1" x14ac:dyDescent="0.35">
      <c r="B138" s="100"/>
      <c r="C138" s="100" t="s">
        <v>16</v>
      </c>
      <c r="D138" s="88"/>
      <c r="E138" s="88"/>
      <c r="F138" s="88"/>
      <c r="G138" s="88"/>
      <c r="H138" s="88"/>
      <c r="I138" s="88"/>
      <c r="J138" s="88"/>
      <c r="K138" s="88"/>
      <c r="L138" s="88"/>
      <c r="M138" s="90"/>
      <c r="N138" s="91">
        <f>($U$1*P138)*(100%+R138)*(100%+$T$60)</f>
        <v>0</v>
      </c>
      <c r="O138" s="352">
        <f t="shared" si="34"/>
        <v>0.95844000000000007</v>
      </c>
      <c r="P138" s="320">
        <v>1.63</v>
      </c>
      <c r="Q138" s="353">
        <v>0.41199999999999998</v>
      </c>
      <c r="R138" s="296">
        <v>1.2</v>
      </c>
    </row>
    <row r="139" spans="2:22" s="92" customFormat="1" ht="12.65" customHeight="1" x14ac:dyDescent="0.35">
      <c r="B139" s="100"/>
      <c r="C139" s="100" t="s">
        <v>17</v>
      </c>
      <c r="D139" s="88"/>
      <c r="E139" s="88"/>
      <c r="F139" s="88"/>
      <c r="G139" s="88"/>
      <c r="H139" s="88"/>
      <c r="I139" s="88"/>
      <c r="J139" s="88"/>
      <c r="K139" s="88"/>
      <c r="L139" s="88"/>
      <c r="M139" s="90"/>
      <c r="N139" s="91">
        <f>($U$1*P139)*(100%+R139)*(100%+$T$60)</f>
        <v>0</v>
      </c>
      <c r="O139" s="352">
        <f t="shared" si="34"/>
        <v>1.3347600000000002</v>
      </c>
      <c r="P139" s="320">
        <v>2.27</v>
      </c>
      <c r="Q139" s="353">
        <v>0.41199999999999998</v>
      </c>
      <c r="R139" s="296">
        <v>1.08</v>
      </c>
      <c r="S139" s="120"/>
    </row>
    <row r="140" spans="2:22" x14ac:dyDescent="0.35">
      <c r="P140" s="18"/>
      <c r="Q140" s="18"/>
      <c r="R140" s="18"/>
      <c r="V140" s="45"/>
    </row>
    <row r="141" spans="2:22" x14ac:dyDescent="0.35">
      <c r="B141" s="17" t="s">
        <v>662</v>
      </c>
      <c r="P141" s="18"/>
      <c r="Q141" s="18"/>
      <c r="R141" s="18"/>
    </row>
    <row r="142" spans="2:22" x14ac:dyDescent="0.35">
      <c r="N142" s="45"/>
      <c r="O142" s="45"/>
      <c r="P142" s="44"/>
      <c r="Q142" s="44"/>
      <c r="R142" s="44"/>
      <c r="S142" s="45"/>
    </row>
    <row r="143" spans="2:22" s="45" customFormat="1" ht="11.6" x14ac:dyDescent="0.35">
      <c r="B143" s="26" t="s">
        <v>27</v>
      </c>
      <c r="C143" s="28"/>
      <c r="D143" s="39" t="s">
        <v>86</v>
      </c>
      <c r="E143" s="28"/>
      <c r="F143" s="23"/>
      <c r="G143" s="70"/>
      <c r="H143" s="70"/>
      <c r="I143" s="70"/>
      <c r="J143" s="70"/>
      <c r="K143" s="70"/>
      <c r="L143" s="70"/>
      <c r="M143" s="70"/>
      <c r="N143" s="78" t="s">
        <v>77</v>
      </c>
      <c r="O143" s="346" t="s">
        <v>90</v>
      </c>
      <c r="P143" s="42" t="s">
        <v>422</v>
      </c>
      <c r="Q143" s="42" t="s">
        <v>30</v>
      </c>
      <c r="R143" s="133" t="s">
        <v>39</v>
      </c>
    </row>
    <row r="144" spans="2:22" s="92" customFormat="1" ht="12.65" customHeight="1" x14ac:dyDescent="0.35">
      <c r="B144" s="103">
        <v>9030020015</v>
      </c>
      <c r="C144" s="82" t="s">
        <v>563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118"/>
      <c r="N144" s="102">
        <f>($U$1*O144)*(100%+R144)*(100%+$T$60)</f>
        <v>0</v>
      </c>
      <c r="O144" s="352">
        <f>P144*(100%-Q144)</f>
        <v>7.701918</v>
      </c>
      <c r="P144" s="320">
        <v>15.41</v>
      </c>
      <c r="Q144" s="353">
        <v>0.50019999999999998</v>
      </c>
      <c r="R144" s="296">
        <v>0.95</v>
      </c>
    </row>
    <row r="145" spans="2:21" s="92" customFormat="1" ht="12.65" customHeight="1" x14ac:dyDescent="0.35">
      <c r="B145" s="87"/>
      <c r="C145" s="100" t="s">
        <v>564</v>
      </c>
      <c r="D145" s="88"/>
      <c r="E145" s="88"/>
      <c r="F145" s="88"/>
      <c r="G145" s="88"/>
      <c r="H145" s="88"/>
      <c r="I145" s="88"/>
      <c r="J145" s="88"/>
      <c r="K145" s="88"/>
      <c r="L145" s="88"/>
      <c r="M145" s="90"/>
      <c r="N145" s="91">
        <f>($U$1*O145)*(100%+R145)*(100%+$T$60)</f>
        <v>0</v>
      </c>
      <c r="O145" s="352">
        <f t="shared" ref="O145:O147" si="35">P145*(100%-Q145)</f>
        <v>7.7868840000000006</v>
      </c>
      <c r="P145" s="320">
        <v>15.58</v>
      </c>
      <c r="Q145" s="353">
        <v>0.50019999999999998</v>
      </c>
      <c r="R145" s="296">
        <v>0.95</v>
      </c>
    </row>
    <row r="146" spans="2:21" s="45" customFormat="1" ht="12.65" customHeight="1" x14ac:dyDescent="0.35">
      <c r="B146" s="83">
        <v>9030020007</v>
      </c>
      <c r="C146" s="39" t="s">
        <v>565</v>
      </c>
      <c r="D146" s="26"/>
      <c r="E146" s="26"/>
      <c r="F146" s="26"/>
      <c r="G146" s="26"/>
      <c r="H146" s="26"/>
      <c r="I146" s="26"/>
      <c r="J146" s="26"/>
      <c r="K146" s="26"/>
      <c r="L146" s="26"/>
      <c r="M146" s="59"/>
      <c r="N146" s="102">
        <f>($U$1*O146)*(100%+R146)*(100%+$T$60)</f>
        <v>0</v>
      </c>
      <c r="O146" s="352">
        <f t="shared" si="35"/>
        <v>7.8668520000000006</v>
      </c>
      <c r="P146" s="320">
        <v>15.74</v>
      </c>
      <c r="Q146" s="353">
        <v>0.50019999999999998</v>
      </c>
      <c r="R146" s="296">
        <v>0.95</v>
      </c>
    </row>
    <row r="147" spans="2:21" s="45" customFormat="1" ht="12.65" customHeight="1" x14ac:dyDescent="0.35">
      <c r="B147" s="83">
        <v>9030020008</v>
      </c>
      <c r="C147" s="39" t="s">
        <v>566</v>
      </c>
      <c r="D147" s="26"/>
      <c r="E147" s="26"/>
      <c r="F147" s="26"/>
      <c r="G147" s="26"/>
      <c r="H147" s="26"/>
      <c r="I147" s="26"/>
      <c r="J147" s="26"/>
      <c r="K147" s="26"/>
      <c r="L147" s="26"/>
      <c r="M147" s="59"/>
      <c r="N147" s="102">
        <f>($U$1*O147)*(100%+R147)*(100%+$T$60)</f>
        <v>0</v>
      </c>
      <c r="O147" s="352">
        <f t="shared" si="35"/>
        <v>9.9810060000000007</v>
      </c>
      <c r="P147" s="320">
        <v>19.97</v>
      </c>
      <c r="Q147" s="353">
        <v>0.50019999999999998</v>
      </c>
      <c r="R147" s="296">
        <v>0.95</v>
      </c>
      <c r="S147" s="19"/>
    </row>
    <row r="148" spans="2:21" s="45" customFormat="1" ht="12.45" customHeight="1" x14ac:dyDescent="0.35">
      <c r="B148" s="83"/>
      <c r="C148" s="39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106"/>
      <c r="O148" s="19"/>
      <c r="P148" s="135"/>
      <c r="Q148" s="126"/>
      <c r="R148" s="19"/>
    </row>
    <row r="149" spans="2:21" s="45" customFormat="1" ht="12.45" customHeight="1" x14ac:dyDescent="0.35">
      <c r="B149" s="83"/>
      <c r="C149" s="39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106"/>
      <c r="O149" s="19"/>
      <c r="P149" s="135"/>
      <c r="Q149" s="126"/>
      <c r="R149" s="19"/>
    </row>
    <row r="150" spans="2:21" s="45" customFormat="1" ht="12.45" customHeight="1" x14ac:dyDescent="0.35">
      <c r="B150" s="83"/>
      <c r="C150" s="3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106"/>
      <c r="O150" s="19"/>
      <c r="P150" s="135"/>
      <c r="Q150" s="126"/>
      <c r="R150" s="19"/>
    </row>
    <row r="151" spans="2:21" s="45" customFormat="1" ht="12.45" customHeight="1" x14ac:dyDescent="0.35">
      <c r="B151" s="83"/>
      <c r="C151" s="3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106"/>
      <c r="O151" s="19"/>
      <c r="P151" s="135"/>
      <c r="Q151" s="126"/>
      <c r="R151" s="19"/>
    </row>
    <row r="152" spans="2:21" s="45" customFormat="1" ht="12.45" customHeight="1" x14ac:dyDescent="0.35">
      <c r="B152" s="83"/>
      <c r="C152" s="3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106"/>
      <c r="O152" s="19"/>
      <c r="P152" s="135"/>
      <c r="Q152" s="126"/>
      <c r="R152" s="19"/>
    </row>
    <row r="153" spans="2:21" s="45" customFormat="1" ht="12.45" customHeight="1" x14ac:dyDescent="0.35">
      <c r="B153" s="83"/>
      <c r="C153" s="3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106"/>
      <c r="O153" s="19"/>
      <c r="P153" s="135"/>
      <c r="Q153" s="126"/>
      <c r="R153" s="19"/>
    </row>
    <row r="154" spans="2:21" ht="3.45" customHeight="1" x14ac:dyDescent="0.35">
      <c r="U154" s="45"/>
    </row>
    <row r="155" spans="2:21" x14ac:dyDescent="0.35">
      <c r="B155" s="17" t="s">
        <v>663</v>
      </c>
    </row>
    <row r="156" spans="2:21" x14ac:dyDescent="0.35">
      <c r="N156" s="45"/>
      <c r="O156" s="45"/>
      <c r="P156" s="45"/>
      <c r="Q156" s="45"/>
      <c r="R156" s="45"/>
    </row>
    <row r="157" spans="2:21" s="45" customFormat="1" x14ac:dyDescent="0.35">
      <c r="B157" s="26" t="s">
        <v>27</v>
      </c>
      <c r="C157" s="28"/>
      <c r="D157" s="26" t="s">
        <v>84</v>
      </c>
      <c r="E157" s="28"/>
      <c r="F157" s="39"/>
      <c r="G157" s="39"/>
      <c r="H157" s="74"/>
      <c r="I157" s="74"/>
      <c r="J157" s="75"/>
      <c r="K157" s="76">
        <v>251</v>
      </c>
      <c r="L157" s="76">
        <f>K158+1</f>
        <v>301</v>
      </c>
      <c r="M157" s="76">
        <f>L158+1</f>
        <v>351</v>
      </c>
      <c r="N157" s="76">
        <f>M158+1</f>
        <v>401</v>
      </c>
      <c r="S157" s="52" t="s">
        <v>22</v>
      </c>
      <c r="T157" s="53">
        <f>W1</f>
        <v>49</v>
      </c>
      <c r="U157" s="19"/>
    </row>
    <row r="158" spans="2:21" s="45" customFormat="1" ht="11.6" x14ac:dyDescent="0.35">
      <c r="C158" s="28"/>
      <c r="D158" s="27"/>
      <c r="E158" s="28"/>
      <c r="F158" s="23"/>
      <c r="G158" s="70"/>
      <c r="H158" s="70"/>
      <c r="I158" s="70"/>
      <c r="J158" s="78" t="s">
        <v>26</v>
      </c>
      <c r="K158" s="96">
        <f>K157+$T$157</f>
        <v>300</v>
      </c>
      <c r="L158" s="96">
        <f>L157+$T$157</f>
        <v>350</v>
      </c>
      <c r="M158" s="96">
        <f>M157+$T$157</f>
        <v>400</v>
      </c>
      <c r="N158" s="96">
        <f>N157+$T$157</f>
        <v>450</v>
      </c>
      <c r="O158" s="45" t="s">
        <v>750</v>
      </c>
      <c r="P158" s="44" t="s">
        <v>90</v>
      </c>
      <c r="Q158" s="52" t="s">
        <v>98</v>
      </c>
    </row>
    <row r="159" spans="2:21" s="45" customFormat="1" ht="11.6" x14ac:dyDescent="0.35">
      <c r="B159" s="26"/>
      <c r="C159" s="28"/>
      <c r="D159" s="27"/>
      <c r="E159" s="23"/>
      <c r="F159" s="39"/>
      <c r="G159" s="39"/>
      <c r="H159" s="39"/>
      <c r="I159" s="39"/>
      <c r="J159" s="167"/>
      <c r="K159" s="67"/>
      <c r="L159" s="67"/>
      <c r="M159" s="116"/>
      <c r="N159" s="116"/>
    </row>
    <row r="160" spans="2:21" s="92" customFormat="1" ht="12.65" customHeight="1" x14ac:dyDescent="0.35">
      <c r="B160" s="103">
        <v>9030030009</v>
      </c>
      <c r="C160" s="82" t="s">
        <v>43</v>
      </c>
      <c r="D160" s="52"/>
      <c r="E160" s="52"/>
      <c r="F160" s="52"/>
      <c r="G160" s="52"/>
      <c r="H160" s="52"/>
      <c r="I160" s="52"/>
      <c r="J160" s="118"/>
      <c r="K160" s="102">
        <f t="shared" ref="K160:K165" si="36">$U$1*Q160*$K$158/100</f>
        <v>0</v>
      </c>
      <c r="L160" s="102">
        <f t="shared" ref="L160:L165" si="37">$U$1*Q160*$L$158/100</f>
        <v>0</v>
      </c>
      <c r="M160" s="102">
        <f t="shared" ref="M160:M165" si="38">$U$1*Q160*$M$158/100</f>
        <v>0</v>
      </c>
      <c r="N160" s="102">
        <f t="shared" ref="N160:N165" si="39">$U$1*Q160*$N$158/100</f>
        <v>0</v>
      </c>
      <c r="O160" s="301">
        <v>300</v>
      </c>
      <c r="P160" s="301">
        <v>7.16</v>
      </c>
      <c r="Q160" s="105">
        <v>5.82</v>
      </c>
    </row>
    <row r="161" spans="2:21" s="92" customFormat="1" ht="12.65" customHeight="1" x14ac:dyDescent="0.35">
      <c r="B161" s="103">
        <v>9030030008</v>
      </c>
      <c r="C161" s="82" t="s">
        <v>44</v>
      </c>
      <c r="D161" s="52"/>
      <c r="E161" s="52"/>
      <c r="F161" s="52"/>
      <c r="G161" s="52"/>
      <c r="H161" s="52"/>
      <c r="I161" s="52"/>
      <c r="J161" s="118"/>
      <c r="K161" s="102">
        <f t="shared" si="36"/>
        <v>0</v>
      </c>
      <c r="L161" s="102">
        <f t="shared" si="37"/>
        <v>0</v>
      </c>
      <c r="M161" s="102">
        <f t="shared" si="38"/>
        <v>0</v>
      </c>
      <c r="N161" s="102">
        <f t="shared" si="39"/>
        <v>0</v>
      </c>
      <c r="O161" s="301">
        <v>245</v>
      </c>
      <c r="P161" s="301">
        <v>3.56</v>
      </c>
      <c r="Q161" s="105">
        <v>2.98</v>
      </c>
    </row>
    <row r="162" spans="2:21" s="92" customFormat="1" ht="12.65" customHeight="1" x14ac:dyDescent="0.35">
      <c r="B162" s="87"/>
      <c r="C162" s="100" t="s">
        <v>47</v>
      </c>
      <c r="D162" s="88"/>
      <c r="E162" s="88"/>
      <c r="F162" s="88"/>
      <c r="G162" s="88"/>
      <c r="H162" s="88"/>
      <c r="I162" s="88"/>
      <c r="J162" s="90"/>
      <c r="K162" s="91">
        <f t="shared" si="36"/>
        <v>0</v>
      </c>
      <c r="L162" s="91">
        <f t="shared" si="37"/>
        <v>0</v>
      </c>
      <c r="M162" s="91">
        <f t="shared" si="38"/>
        <v>0</v>
      </c>
      <c r="N162" s="91">
        <f t="shared" si="39"/>
        <v>0</v>
      </c>
      <c r="O162" s="301"/>
      <c r="P162" s="301"/>
      <c r="Q162" s="105">
        <v>3.81</v>
      </c>
    </row>
    <row r="163" spans="2:21" s="101" customFormat="1" ht="12.65" customHeight="1" x14ac:dyDescent="0.35">
      <c r="B163" s="103">
        <v>9030030002</v>
      </c>
      <c r="C163" s="82" t="s">
        <v>83</v>
      </c>
      <c r="D163" s="52"/>
      <c r="E163" s="52"/>
      <c r="F163" s="52"/>
      <c r="G163" s="52"/>
      <c r="H163" s="52"/>
      <c r="I163" s="52"/>
      <c r="J163" s="118"/>
      <c r="K163" s="102">
        <f t="shared" si="36"/>
        <v>0</v>
      </c>
      <c r="L163" s="102">
        <f t="shared" si="37"/>
        <v>0</v>
      </c>
      <c r="M163" s="102">
        <f t="shared" si="38"/>
        <v>0</v>
      </c>
      <c r="N163" s="102">
        <f t="shared" si="39"/>
        <v>0</v>
      </c>
      <c r="O163" s="301">
        <v>245</v>
      </c>
      <c r="P163" s="301">
        <v>4.6100000000000003</v>
      </c>
      <c r="Q163" s="105">
        <v>5.08</v>
      </c>
    </row>
    <row r="164" spans="2:21" s="45" customFormat="1" ht="12.65" customHeight="1" x14ac:dyDescent="0.35">
      <c r="B164" s="83">
        <v>9030030001</v>
      </c>
      <c r="C164" s="39" t="s">
        <v>45</v>
      </c>
      <c r="D164" s="26"/>
      <c r="E164" s="26"/>
      <c r="F164" s="26"/>
      <c r="G164" s="26"/>
      <c r="H164" s="26"/>
      <c r="I164" s="26"/>
      <c r="J164" s="59"/>
      <c r="K164" s="102">
        <f t="shared" si="36"/>
        <v>0</v>
      </c>
      <c r="L164" s="102">
        <f t="shared" si="37"/>
        <v>0</v>
      </c>
      <c r="M164" s="102">
        <f t="shared" si="38"/>
        <v>0</v>
      </c>
      <c r="N164" s="102">
        <f t="shared" si="39"/>
        <v>0</v>
      </c>
      <c r="O164" s="301">
        <v>245</v>
      </c>
      <c r="P164" s="301">
        <v>3.67</v>
      </c>
      <c r="Q164" s="105">
        <v>3.28</v>
      </c>
    </row>
    <row r="165" spans="2:21" s="45" customFormat="1" ht="12.65" customHeight="1" x14ac:dyDescent="0.35">
      <c r="B165" s="83">
        <v>9030030003</v>
      </c>
      <c r="C165" s="39" t="s">
        <v>46</v>
      </c>
      <c r="D165" s="26"/>
      <c r="E165" s="26"/>
      <c r="F165" s="26"/>
      <c r="G165" s="26"/>
      <c r="H165" s="26"/>
      <c r="I165" s="26"/>
      <c r="J165" s="59"/>
      <c r="K165" s="102">
        <f t="shared" si="36"/>
        <v>0</v>
      </c>
      <c r="L165" s="102">
        <f t="shared" si="37"/>
        <v>0</v>
      </c>
      <c r="M165" s="102">
        <f t="shared" si="38"/>
        <v>0</v>
      </c>
      <c r="N165" s="102">
        <f t="shared" si="39"/>
        <v>0</v>
      </c>
      <c r="O165" s="301">
        <v>245</v>
      </c>
      <c r="P165" s="301">
        <v>8.2200000000000006</v>
      </c>
      <c r="Q165" s="105">
        <v>6.26</v>
      </c>
      <c r="R165" s="19"/>
    </row>
    <row r="167" spans="2:21" x14ac:dyDescent="0.35">
      <c r="B167" s="17" t="s">
        <v>664</v>
      </c>
    </row>
    <row r="168" spans="2:21" x14ac:dyDescent="0.35">
      <c r="N168" s="45"/>
      <c r="O168" s="45"/>
      <c r="P168" s="45"/>
      <c r="Q168" s="45"/>
      <c r="R168" s="45"/>
    </row>
    <row r="169" spans="2:21" s="45" customFormat="1" x14ac:dyDescent="0.35">
      <c r="B169" s="26" t="s">
        <v>27</v>
      </c>
      <c r="C169" s="28"/>
      <c r="D169" s="26" t="s">
        <v>84</v>
      </c>
      <c r="E169" s="28"/>
      <c r="F169" s="39"/>
      <c r="G169" s="39"/>
      <c r="H169" s="74"/>
      <c r="I169" s="74"/>
      <c r="J169" s="75"/>
      <c r="K169" s="76">
        <v>251</v>
      </c>
      <c r="L169" s="76">
        <f>K170+1</f>
        <v>301</v>
      </c>
      <c r="M169" s="76">
        <f>L170+1</f>
        <v>351</v>
      </c>
      <c r="N169" s="76">
        <f>M170+1</f>
        <v>401</v>
      </c>
      <c r="S169" s="52" t="s">
        <v>22</v>
      </c>
      <c r="T169" s="53">
        <f>W1</f>
        <v>49</v>
      </c>
      <c r="U169" s="19"/>
    </row>
    <row r="170" spans="2:21" s="45" customFormat="1" ht="11.6" x14ac:dyDescent="0.35">
      <c r="C170" s="28"/>
      <c r="D170" s="27"/>
      <c r="E170" s="28"/>
      <c r="F170" s="23"/>
      <c r="G170" s="70"/>
      <c r="H170" s="70"/>
      <c r="I170" s="70"/>
      <c r="J170" s="78" t="s">
        <v>26</v>
      </c>
      <c r="K170" s="96">
        <f>K169+$T$169</f>
        <v>300</v>
      </c>
      <c r="L170" s="96">
        <f>L169+$T$169</f>
        <v>350</v>
      </c>
      <c r="M170" s="96">
        <f>M169+$T$169</f>
        <v>400</v>
      </c>
      <c r="N170" s="96">
        <f>N169+$T$169</f>
        <v>450</v>
      </c>
      <c r="P170" s="45" t="s">
        <v>99</v>
      </c>
      <c r="Q170" s="45" t="s">
        <v>98</v>
      </c>
    </row>
    <row r="171" spans="2:21" s="45" customFormat="1" ht="12.65" customHeight="1" x14ac:dyDescent="0.35">
      <c r="B171" s="26"/>
      <c r="C171" s="28"/>
      <c r="D171" s="27"/>
      <c r="E171" s="23"/>
      <c r="F171" s="39"/>
      <c r="G171" s="39"/>
      <c r="H171" s="39"/>
      <c r="I171" s="39"/>
      <c r="J171" s="167"/>
      <c r="K171" s="67"/>
      <c r="L171" s="67"/>
      <c r="M171" s="116"/>
      <c r="N171" s="116"/>
    </row>
    <row r="172" spans="2:21" s="92" customFormat="1" ht="12.65" customHeight="1" x14ac:dyDescent="0.35">
      <c r="B172" s="100"/>
      <c r="C172" s="100" t="s">
        <v>44</v>
      </c>
      <c r="D172" s="88"/>
      <c r="E172" s="88"/>
      <c r="F172" s="88"/>
      <c r="G172" s="88"/>
      <c r="H172" s="88"/>
      <c r="I172" s="88"/>
      <c r="J172" s="90"/>
      <c r="K172" s="91">
        <f>$U$1*Q172*$K$170/100</f>
        <v>0</v>
      </c>
      <c r="L172" s="91">
        <f>$U$1*Q172*$L$170/100</f>
        <v>0</v>
      </c>
      <c r="M172" s="91">
        <f>$U$1*Q172*$M$170/100</f>
        <v>0</v>
      </c>
      <c r="N172" s="91">
        <f>$U$1*Q172*$N$170/100</f>
        <v>0</v>
      </c>
      <c r="Q172" s="105">
        <v>6.68</v>
      </c>
    </row>
    <row r="173" spans="2:21" s="92" customFormat="1" ht="12.65" customHeight="1" x14ac:dyDescent="0.35">
      <c r="B173" s="100"/>
      <c r="C173" s="100" t="s">
        <v>47</v>
      </c>
      <c r="D173" s="88"/>
      <c r="E173" s="88"/>
      <c r="F173" s="88"/>
      <c r="G173" s="88"/>
      <c r="H173" s="88"/>
      <c r="I173" s="88"/>
      <c r="J173" s="90"/>
      <c r="K173" s="91">
        <f>$U$1*Q173*$K$170/100</f>
        <v>0</v>
      </c>
      <c r="L173" s="91">
        <f>$U$1*Q173*$L$170/100</f>
        <v>0</v>
      </c>
      <c r="M173" s="91">
        <f>$U$1*Q173*$M$170/100</f>
        <v>0</v>
      </c>
      <c r="N173" s="91">
        <f>$U$1*Q173*$N$170/100</f>
        <v>0</v>
      </c>
      <c r="Q173" s="105">
        <v>8.82</v>
      </c>
    </row>
    <row r="174" spans="2:21" s="92" customFormat="1" ht="12.65" customHeight="1" x14ac:dyDescent="0.35">
      <c r="B174" s="100"/>
      <c r="C174" s="100" t="s">
        <v>45</v>
      </c>
      <c r="D174" s="88"/>
      <c r="E174" s="88"/>
      <c r="F174" s="88"/>
      <c r="G174" s="88"/>
      <c r="H174" s="88"/>
      <c r="I174" s="88"/>
      <c r="J174" s="90"/>
      <c r="K174" s="91">
        <f>$U$1*Q174*$K$170/100</f>
        <v>0</v>
      </c>
      <c r="L174" s="91">
        <f>$U$1*Q174*$L$170/100</f>
        <v>0</v>
      </c>
      <c r="M174" s="91">
        <f>$U$1*Q174*$M$170/100</f>
        <v>0</v>
      </c>
      <c r="N174" s="91">
        <f>$U$1*Q174*$N$170/100</f>
        <v>0</v>
      </c>
      <c r="Q174" s="105">
        <v>7.92</v>
      </c>
    </row>
    <row r="175" spans="2:21" s="92" customFormat="1" ht="12.65" customHeight="1" x14ac:dyDescent="0.35">
      <c r="B175" s="100"/>
      <c r="C175" s="100" t="s">
        <v>46</v>
      </c>
      <c r="D175" s="88"/>
      <c r="E175" s="88"/>
      <c r="F175" s="88"/>
      <c r="G175" s="88"/>
      <c r="H175" s="88"/>
      <c r="I175" s="88"/>
      <c r="J175" s="90"/>
      <c r="K175" s="91">
        <f>$U$1*Q175*$K$170/100</f>
        <v>0</v>
      </c>
      <c r="L175" s="91">
        <f>$U$1*Q175*$L$170/100</f>
        <v>0</v>
      </c>
      <c r="M175" s="91">
        <f>$U$1*Q175*$M$170/100</f>
        <v>0</v>
      </c>
      <c r="N175" s="91">
        <f>$U$1*Q175*$N$170/100</f>
        <v>0</v>
      </c>
      <c r="O175" s="120"/>
      <c r="P175" s="120"/>
      <c r="Q175" s="105">
        <v>10.99</v>
      </c>
      <c r="R175" s="120"/>
    </row>
    <row r="177" spans="2:21" x14ac:dyDescent="0.35">
      <c r="B177" s="17" t="s">
        <v>767</v>
      </c>
    </row>
    <row r="178" spans="2:21" x14ac:dyDescent="0.35">
      <c r="N178" s="45"/>
      <c r="O178" s="45"/>
      <c r="P178" s="45"/>
      <c r="Q178" s="45"/>
      <c r="R178" s="45"/>
    </row>
    <row r="179" spans="2:21" s="45" customFormat="1" x14ac:dyDescent="0.35">
      <c r="B179" s="26" t="s">
        <v>27</v>
      </c>
      <c r="C179" s="28"/>
      <c r="D179" s="26" t="s">
        <v>84</v>
      </c>
      <c r="E179" s="28"/>
      <c r="F179" s="39"/>
      <c r="G179" s="39"/>
      <c r="H179" s="74"/>
      <c r="I179" s="74"/>
      <c r="J179" s="75"/>
      <c r="K179" s="76">
        <v>251</v>
      </c>
      <c r="L179" s="76">
        <f>K180+1</f>
        <v>301</v>
      </c>
      <c r="M179" s="76">
        <f>L180+1</f>
        <v>351</v>
      </c>
      <c r="N179" s="76">
        <f>M180+1</f>
        <v>401</v>
      </c>
      <c r="S179" s="52" t="s">
        <v>22</v>
      </c>
      <c r="T179" s="53">
        <f>W1</f>
        <v>49</v>
      </c>
      <c r="U179" s="19"/>
    </row>
    <row r="180" spans="2:21" s="45" customFormat="1" ht="11.6" x14ac:dyDescent="0.35">
      <c r="C180" s="28"/>
      <c r="D180" s="27"/>
      <c r="E180" s="28"/>
      <c r="F180" s="23"/>
      <c r="G180" s="70"/>
      <c r="H180" s="70"/>
      <c r="I180" s="70"/>
      <c r="J180" s="78" t="s">
        <v>26</v>
      </c>
      <c r="K180" s="96">
        <f>K179+$T$179</f>
        <v>300</v>
      </c>
      <c r="L180" s="96">
        <f>L179+$T$179</f>
        <v>350</v>
      </c>
      <c r="M180" s="96">
        <f>M179+$T$179</f>
        <v>400</v>
      </c>
      <c r="N180" s="96">
        <f>N179+$T$179</f>
        <v>450</v>
      </c>
      <c r="P180" s="45" t="s">
        <v>99</v>
      </c>
      <c r="Q180" s="45" t="s">
        <v>98</v>
      </c>
    </row>
    <row r="181" spans="2:21" s="45" customFormat="1" ht="11.6" x14ac:dyDescent="0.35">
      <c r="B181" s="26"/>
      <c r="C181" s="28"/>
      <c r="D181" s="27"/>
      <c r="E181" s="23"/>
      <c r="F181" s="39"/>
      <c r="G181" s="39"/>
      <c r="H181" s="39"/>
      <c r="I181" s="39"/>
      <c r="J181" s="167"/>
      <c r="K181" s="67"/>
      <c r="L181" s="67"/>
      <c r="M181" s="116"/>
      <c r="N181" s="116"/>
      <c r="P181" s="113"/>
    </row>
    <row r="182" spans="2:21" s="92" customFormat="1" ht="12.65" customHeight="1" x14ac:dyDescent="0.35">
      <c r="B182" s="103">
        <v>9030030007</v>
      </c>
      <c r="C182" s="82" t="s">
        <v>603</v>
      </c>
      <c r="D182" s="52"/>
      <c r="E182" s="52"/>
      <c r="F182" s="52"/>
      <c r="G182" s="52"/>
      <c r="H182" s="52"/>
      <c r="I182" s="52"/>
      <c r="J182" s="118"/>
      <c r="K182" s="102">
        <f>$U$1*Q182*$K$180/100</f>
        <v>0</v>
      </c>
      <c r="L182" s="102">
        <f>$U$1*Q182*$L$180/100</f>
        <v>0</v>
      </c>
      <c r="M182" s="102">
        <f>$U$1*Q182*$M$180/100</f>
        <v>0</v>
      </c>
      <c r="N182" s="102">
        <f>$U$1*Q182*$N$180/100</f>
        <v>0</v>
      </c>
      <c r="P182" s="113">
        <v>34.840000000000003</v>
      </c>
      <c r="Q182" s="105">
        <v>26</v>
      </c>
    </row>
    <row r="183" spans="2:21" s="101" customFormat="1" ht="12.65" customHeight="1" x14ac:dyDescent="0.35">
      <c r="B183" s="103">
        <v>9030030004</v>
      </c>
      <c r="C183" s="82" t="s">
        <v>604</v>
      </c>
      <c r="D183" s="52"/>
      <c r="E183" s="52"/>
      <c r="F183" s="52"/>
      <c r="G183" s="52"/>
      <c r="H183" s="52"/>
      <c r="I183" s="52"/>
      <c r="J183" s="118"/>
      <c r="K183" s="102">
        <f>$U$1*Q183*$K$180/100</f>
        <v>0</v>
      </c>
      <c r="L183" s="102">
        <f>$U$1*Q183*$L$180/100</f>
        <v>0</v>
      </c>
      <c r="M183" s="102">
        <f>$U$1*Q183*$M$180/100</f>
        <v>0</v>
      </c>
      <c r="N183" s="102">
        <f>$U$1*Q183*$N$180/100</f>
        <v>0</v>
      </c>
      <c r="P183" s="113">
        <v>29.61</v>
      </c>
      <c r="Q183" s="105">
        <v>21.5</v>
      </c>
    </row>
    <row r="184" spans="2:21" s="101" customFormat="1" ht="12.65" customHeight="1" x14ac:dyDescent="0.35">
      <c r="B184" s="103">
        <v>9030030005</v>
      </c>
      <c r="C184" s="82" t="s">
        <v>635</v>
      </c>
      <c r="D184" s="52"/>
      <c r="E184" s="52"/>
      <c r="F184" s="52"/>
      <c r="G184" s="52"/>
      <c r="H184" s="52"/>
      <c r="I184" s="52"/>
      <c r="J184" s="118"/>
      <c r="K184" s="102">
        <f>$U$1*Q184*$K$180/100</f>
        <v>0</v>
      </c>
      <c r="L184" s="102">
        <f>$U$1*Q184*$L$180/100</f>
        <v>0</v>
      </c>
      <c r="M184" s="102">
        <f>$U$1*Q184*$M$180/100</f>
        <v>0</v>
      </c>
      <c r="N184" s="102">
        <f>$U$1*Q184*$N$180/100</f>
        <v>0</v>
      </c>
      <c r="P184" s="113">
        <v>31.46</v>
      </c>
      <c r="Q184" s="105">
        <v>25</v>
      </c>
    </row>
    <row r="186" spans="2:21" x14ac:dyDescent="0.35">
      <c r="B186" s="17" t="s">
        <v>752</v>
      </c>
      <c r="N186" s="45"/>
      <c r="O186" s="45"/>
      <c r="P186" s="45"/>
      <c r="Q186" s="45"/>
      <c r="R186" s="45"/>
    </row>
    <row r="187" spans="2:21" ht="9" customHeight="1" x14ac:dyDescent="0.35">
      <c r="N187" s="45"/>
      <c r="O187" s="45"/>
      <c r="P187" s="45"/>
      <c r="Q187" s="45"/>
      <c r="R187" s="45"/>
    </row>
    <row r="188" spans="2:21" ht="9" customHeight="1" x14ac:dyDescent="0.35">
      <c r="N188" s="45"/>
      <c r="O188" s="45"/>
      <c r="P188" s="45"/>
      <c r="Q188" s="45"/>
      <c r="R188" s="45"/>
    </row>
    <row r="189" spans="2:21" s="45" customFormat="1" x14ac:dyDescent="0.35">
      <c r="B189" s="26" t="s">
        <v>27</v>
      </c>
      <c r="C189" s="28"/>
      <c r="D189" s="26" t="s">
        <v>84</v>
      </c>
      <c r="E189" s="28"/>
      <c r="F189" s="39"/>
      <c r="G189" s="39"/>
      <c r="H189" s="74"/>
      <c r="I189" s="74"/>
      <c r="J189" s="75"/>
      <c r="K189" s="76">
        <v>251</v>
      </c>
      <c r="L189" s="76">
        <f>K190+1</f>
        <v>301</v>
      </c>
      <c r="M189" s="76">
        <f>L190+1</f>
        <v>351</v>
      </c>
      <c r="N189" s="76">
        <f>M190+1</f>
        <v>401</v>
      </c>
      <c r="S189" s="52" t="s">
        <v>22</v>
      </c>
      <c r="T189" s="53">
        <f>W1</f>
        <v>49</v>
      </c>
      <c r="U189" s="19"/>
    </row>
    <row r="190" spans="2:21" s="45" customFormat="1" ht="11.6" x14ac:dyDescent="0.35">
      <c r="C190" s="28"/>
      <c r="D190" s="27"/>
      <c r="E190" s="28"/>
      <c r="F190" s="23"/>
      <c r="G190" s="70"/>
      <c r="H190" s="70"/>
      <c r="I190" s="70"/>
      <c r="J190" s="78" t="s">
        <v>26</v>
      </c>
      <c r="K190" s="96">
        <f>K189+$T$189</f>
        <v>300</v>
      </c>
      <c r="L190" s="96">
        <f>L189+$T$189</f>
        <v>350</v>
      </c>
      <c r="M190" s="96">
        <f>M189+$T$189</f>
        <v>400</v>
      </c>
      <c r="N190" s="96">
        <f>N189+$T$189</f>
        <v>450</v>
      </c>
      <c r="O190" s="165" t="s">
        <v>750</v>
      </c>
      <c r="P190" s="44" t="s">
        <v>749</v>
      </c>
      <c r="Q190" s="45" t="s">
        <v>98</v>
      </c>
    </row>
    <row r="191" spans="2:21" s="45" customFormat="1" ht="11.6" x14ac:dyDescent="0.35">
      <c r="B191" s="26"/>
      <c r="C191" s="28"/>
      <c r="D191" s="27"/>
      <c r="E191" s="23"/>
      <c r="F191" s="39"/>
      <c r="G191" s="39"/>
      <c r="H191" s="39"/>
      <c r="I191" s="39"/>
      <c r="J191" s="167"/>
      <c r="K191" s="67"/>
      <c r="L191" s="67"/>
      <c r="M191" s="116"/>
      <c r="N191" s="116"/>
      <c r="P191" s="113"/>
    </row>
    <row r="192" spans="2:21" s="92" customFormat="1" ht="12.65" customHeight="1" x14ac:dyDescent="0.35">
      <c r="B192" s="103">
        <v>9030040014</v>
      </c>
      <c r="C192" s="82" t="s">
        <v>50</v>
      </c>
      <c r="D192" s="52"/>
      <c r="E192" s="52"/>
      <c r="F192" s="52"/>
      <c r="G192" s="52"/>
      <c r="H192" s="52"/>
      <c r="I192" s="52"/>
      <c r="J192" s="118"/>
      <c r="K192" s="102">
        <f>$U$1*Q192*$K$190/100</f>
        <v>0</v>
      </c>
      <c r="L192" s="102">
        <f>$U$1*Q192*$L$190/100</f>
        <v>0</v>
      </c>
      <c r="M192" s="102">
        <f>$U$1*Q192*$M$190/100</f>
        <v>0</v>
      </c>
      <c r="N192" s="102">
        <f>$U$1*Q192*$N$190/100</f>
        <v>0</v>
      </c>
      <c r="O192" s="301">
        <v>300</v>
      </c>
      <c r="P192" s="113">
        <v>4.55</v>
      </c>
      <c r="Q192" s="105">
        <v>2.7</v>
      </c>
    </row>
    <row r="193" spans="2:18" s="101" customFormat="1" ht="12.65" customHeight="1" x14ac:dyDescent="0.35">
      <c r="B193" s="103">
        <v>9030040001</v>
      </c>
      <c r="C193" s="82" t="s">
        <v>51</v>
      </c>
      <c r="D193" s="52"/>
      <c r="E193" s="52"/>
      <c r="F193" s="52"/>
      <c r="G193" s="52"/>
      <c r="H193" s="52"/>
      <c r="I193" s="52"/>
      <c r="J193" s="118"/>
      <c r="K193" s="102">
        <f>$U$1*Q193*$K$190/100</f>
        <v>0</v>
      </c>
      <c r="L193" s="102">
        <f>$U$1*Q193*$L$190/100</f>
        <v>0</v>
      </c>
      <c r="M193" s="102">
        <f>$U$1*Q193*$M$190/100</f>
        <v>0</v>
      </c>
      <c r="N193" s="102">
        <f>$U$1*Q193*$N$190/100</f>
        <v>0</v>
      </c>
      <c r="O193" s="301">
        <v>245</v>
      </c>
      <c r="P193" s="113">
        <v>3.07</v>
      </c>
      <c r="Q193" s="105">
        <v>2.76</v>
      </c>
    </row>
    <row r="194" spans="2:18" s="101" customFormat="1" ht="12.65" customHeight="1" x14ac:dyDescent="0.35">
      <c r="B194" s="103">
        <v>9030040002</v>
      </c>
      <c r="C194" s="82" t="s">
        <v>49</v>
      </c>
      <c r="D194" s="52"/>
      <c r="E194" s="52"/>
      <c r="F194" s="52"/>
      <c r="G194" s="52"/>
      <c r="H194" s="52"/>
      <c r="I194" s="52"/>
      <c r="J194" s="118"/>
      <c r="K194" s="102">
        <f>$U$1*Q194*$K$190/100</f>
        <v>0</v>
      </c>
      <c r="L194" s="102">
        <f>$U$1*Q194*$L$190/100</f>
        <v>0</v>
      </c>
      <c r="M194" s="102">
        <f>$U$1*Q194*$M$190/100</f>
        <v>0</v>
      </c>
      <c r="N194" s="102">
        <f>$U$1*Q194*$N$190/100</f>
        <v>0</v>
      </c>
      <c r="O194" s="301">
        <v>313</v>
      </c>
      <c r="P194" s="113">
        <v>3.5</v>
      </c>
      <c r="Q194" s="105">
        <v>2.67</v>
      </c>
    </row>
    <row r="195" spans="2:18" s="101" customFormat="1" ht="12.65" customHeight="1" x14ac:dyDescent="0.35">
      <c r="B195" s="103">
        <v>9030040003</v>
      </c>
      <c r="C195" s="82" t="s">
        <v>52</v>
      </c>
      <c r="D195" s="52"/>
      <c r="E195" s="52"/>
      <c r="F195" s="52"/>
      <c r="G195" s="52"/>
      <c r="H195" s="52"/>
      <c r="I195" s="52"/>
      <c r="J195" s="118"/>
      <c r="K195" s="102">
        <f>$U$1*Q195*$K$190/100</f>
        <v>0</v>
      </c>
      <c r="L195" s="102">
        <f>$U$1*Q195*$L$190/100</f>
        <v>0</v>
      </c>
      <c r="M195" s="102">
        <f>$U$1*Q195*$M$190/100</f>
        <v>0</v>
      </c>
      <c r="N195" s="102">
        <f>$U$1*Q195*$N$190/100</f>
        <v>0</v>
      </c>
      <c r="O195" s="301">
        <v>245</v>
      </c>
      <c r="P195" s="113">
        <v>6.58</v>
      </c>
      <c r="Q195" s="105">
        <v>4.92</v>
      </c>
    </row>
    <row r="196" spans="2:18" s="45" customFormat="1" x14ac:dyDescent="0.35">
      <c r="B196" s="103"/>
      <c r="C196" s="82"/>
      <c r="D196" s="52"/>
      <c r="E196" s="52"/>
      <c r="F196" s="52"/>
      <c r="G196" s="52"/>
      <c r="H196" s="52"/>
      <c r="I196" s="52"/>
      <c r="J196" s="52"/>
      <c r="K196" s="111"/>
      <c r="L196" s="111"/>
      <c r="M196" s="111"/>
      <c r="N196" s="111"/>
      <c r="O196" s="301"/>
      <c r="P196" s="113"/>
      <c r="Q196" s="105"/>
      <c r="R196" s="19"/>
    </row>
    <row r="197" spans="2:18" s="120" customFormat="1" ht="12.65" customHeight="1" x14ac:dyDescent="0.35">
      <c r="B197" s="103">
        <v>9030040015</v>
      </c>
      <c r="C197" s="82" t="s">
        <v>53</v>
      </c>
      <c r="D197" s="52"/>
      <c r="E197" s="52"/>
      <c r="F197" s="52"/>
      <c r="G197" s="52"/>
      <c r="H197" s="52"/>
      <c r="I197" s="52"/>
      <c r="J197" s="118"/>
      <c r="K197" s="102">
        <f>$U$1*Q197*$K$190/100</f>
        <v>0</v>
      </c>
      <c r="L197" s="102">
        <f>$U$1*Q197*$L$190/100</f>
        <v>0</v>
      </c>
      <c r="M197" s="102">
        <f>$U$1*Q197*$M$190/100</f>
        <v>0</v>
      </c>
      <c r="N197" s="102">
        <f>$U$1*Q197*$N$190/100</f>
        <v>0</v>
      </c>
      <c r="O197" s="301">
        <v>300</v>
      </c>
      <c r="P197" s="113">
        <v>3.04</v>
      </c>
      <c r="Q197" s="105">
        <v>2.7</v>
      </c>
    </row>
    <row r="198" spans="2:18" ht="12.65" customHeight="1" x14ac:dyDescent="0.35">
      <c r="B198" s="103">
        <v>9030040004</v>
      </c>
      <c r="C198" s="82" t="s">
        <v>54</v>
      </c>
      <c r="D198" s="52"/>
      <c r="E198" s="52"/>
      <c r="F198" s="52"/>
      <c r="G198" s="52"/>
      <c r="H198" s="52"/>
      <c r="I198" s="52"/>
      <c r="J198" s="118"/>
      <c r="K198" s="102">
        <f>$U$1*Q198*$K$190/100</f>
        <v>0</v>
      </c>
      <c r="L198" s="102">
        <f>$U$1*Q198*$L$190/100</f>
        <v>0</v>
      </c>
      <c r="M198" s="102">
        <f>$U$1*Q198*$M$190/100</f>
        <v>0</v>
      </c>
      <c r="N198" s="102">
        <f>$U$1*Q198*$N$190/100</f>
        <v>0</v>
      </c>
      <c r="O198" s="301">
        <v>313</v>
      </c>
      <c r="P198" s="113">
        <v>4.0599999999999996</v>
      </c>
      <c r="Q198" s="105">
        <v>2.34</v>
      </c>
    </row>
    <row r="199" spans="2:18" ht="12.65" customHeight="1" x14ac:dyDescent="0.35">
      <c r="B199" s="103">
        <v>9030040005</v>
      </c>
      <c r="C199" s="82" t="s">
        <v>55</v>
      </c>
      <c r="D199" s="52"/>
      <c r="E199" s="52"/>
      <c r="F199" s="52"/>
      <c r="G199" s="52"/>
      <c r="H199" s="52"/>
      <c r="I199" s="52"/>
      <c r="J199" s="118"/>
      <c r="K199" s="102">
        <f>$U$1*Q199*$K$190/100</f>
        <v>0</v>
      </c>
      <c r="L199" s="102">
        <f>$U$1*Q199*$L$190/100</f>
        <v>0</v>
      </c>
      <c r="M199" s="102">
        <f>$U$1*Q199*$M$190/100</f>
        <v>0</v>
      </c>
      <c r="N199" s="102">
        <f>$U$1*Q199*$N$190/100</f>
        <v>0</v>
      </c>
      <c r="O199" s="301">
        <v>313</v>
      </c>
      <c r="P199" s="113">
        <v>4.0999999999999996</v>
      </c>
      <c r="Q199" s="105">
        <v>2.62</v>
      </c>
    </row>
    <row r="200" spans="2:18" ht="12.65" customHeight="1" x14ac:dyDescent="0.35">
      <c r="B200" s="103">
        <v>9030040006</v>
      </c>
      <c r="C200" s="82" t="s">
        <v>56</v>
      </c>
      <c r="D200" s="52"/>
      <c r="E200" s="52"/>
      <c r="F200" s="52"/>
      <c r="G200" s="52"/>
      <c r="H200" s="52"/>
      <c r="I200" s="52"/>
      <c r="J200" s="118"/>
      <c r="K200" s="102">
        <f>$U$1*Q200*$K$190/100</f>
        <v>0</v>
      </c>
      <c r="L200" s="102">
        <f>$U$1*Q200*$L$190/100</f>
        <v>0</v>
      </c>
      <c r="M200" s="102">
        <f>$U$1*Q200*$M$190/100</f>
        <v>0</v>
      </c>
      <c r="N200" s="102">
        <f>$U$1*Q200*$N$190/100</f>
        <v>0</v>
      </c>
      <c r="O200" s="301">
        <v>245</v>
      </c>
      <c r="P200" s="113">
        <v>5.79</v>
      </c>
      <c r="Q200" s="105">
        <v>4.24</v>
      </c>
    </row>
    <row r="201" spans="2:18" ht="15.75" customHeight="1" x14ac:dyDescent="0.35">
      <c r="B201" s="103"/>
      <c r="C201" s="82"/>
      <c r="D201" s="52"/>
      <c r="E201" s="52"/>
      <c r="F201" s="52"/>
      <c r="G201" s="52"/>
      <c r="H201" s="52"/>
      <c r="I201" s="52"/>
      <c r="J201" s="52"/>
      <c r="K201" s="111"/>
      <c r="L201" s="111"/>
      <c r="M201" s="111"/>
      <c r="N201" s="111"/>
      <c r="O201" s="301"/>
      <c r="P201" s="113"/>
      <c r="Q201" s="105"/>
    </row>
    <row r="202" spans="2:18" s="120" customFormat="1" ht="12.65" customHeight="1" x14ac:dyDescent="0.35">
      <c r="B202" s="103">
        <v>9030040016</v>
      </c>
      <c r="C202" s="82" t="s">
        <v>57</v>
      </c>
      <c r="D202" s="52"/>
      <c r="E202" s="52"/>
      <c r="F202" s="52"/>
      <c r="G202" s="52"/>
      <c r="H202" s="52"/>
      <c r="I202" s="52"/>
      <c r="J202" s="118"/>
      <c r="K202" s="102">
        <f>$U$1*Q202*$K$190/100</f>
        <v>0</v>
      </c>
      <c r="L202" s="102">
        <f>$U$1*Q202*$L$190/100</f>
        <v>0</v>
      </c>
      <c r="M202" s="102">
        <f>$U$1*Q202*$M$190/100</f>
        <v>0</v>
      </c>
      <c r="N202" s="102">
        <f>$U$1*Q202*$N$190/100</f>
        <v>0</v>
      </c>
      <c r="O202" s="301">
        <v>300</v>
      </c>
      <c r="P202" s="113">
        <v>8.1300000000000008</v>
      </c>
      <c r="Q202" s="105">
        <v>4.67</v>
      </c>
    </row>
    <row r="203" spans="2:18" ht="12.65" customHeight="1" x14ac:dyDescent="0.35">
      <c r="B203" s="103">
        <v>9030040007</v>
      </c>
      <c r="C203" s="82" t="s">
        <v>58</v>
      </c>
      <c r="D203" s="52"/>
      <c r="E203" s="52"/>
      <c r="F203" s="52"/>
      <c r="G203" s="52"/>
      <c r="H203" s="52"/>
      <c r="I203" s="52"/>
      <c r="J203" s="118"/>
      <c r="K203" s="102">
        <f>$U$1*Q203*$K$190/100</f>
        <v>0</v>
      </c>
      <c r="L203" s="102">
        <f>$U$1*Q203*$L$190/100</f>
        <v>0</v>
      </c>
      <c r="M203" s="102">
        <f>$U$1*Q203*$M$190/100</f>
        <v>0</v>
      </c>
      <c r="N203" s="102">
        <f>$U$1*Q203*$N$190/100</f>
        <v>0</v>
      </c>
      <c r="O203" s="301">
        <v>245</v>
      </c>
      <c r="P203" s="113">
        <v>5.63</v>
      </c>
      <c r="Q203" s="105">
        <v>3.43</v>
      </c>
    </row>
    <row r="204" spans="2:18" ht="12.65" customHeight="1" x14ac:dyDescent="0.35">
      <c r="B204" s="103">
        <v>9030040008</v>
      </c>
      <c r="C204" s="82" t="s">
        <v>59</v>
      </c>
      <c r="D204" s="52"/>
      <c r="E204" s="52"/>
      <c r="F204" s="52"/>
      <c r="G204" s="52"/>
      <c r="H204" s="52"/>
      <c r="I204" s="52"/>
      <c r="J204" s="118"/>
      <c r="K204" s="102">
        <f>$U$1*Q204*$K$190/100</f>
        <v>0</v>
      </c>
      <c r="L204" s="102">
        <f>$U$1*Q204*$L$190/100</f>
        <v>0</v>
      </c>
      <c r="M204" s="102">
        <f>$U$1*Q204*$M$190/100</f>
        <v>0</v>
      </c>
      <c r="N204" s="102">
        <f>$U$1*Q204*$N$190/100</f>
        <v>0</v>
      </c>
      <c r="O204" s="301">
        <v>313</v>
      </c>
      <c r="P204" s="113">
        <v>6.72</v>
      </c>
      <c r="Q204" s="105">
        <v>3.57</v>
      </c>
    </row>
    <row r="205" spans="2:18" ht="12.65" customHeight="1" x14ac:dyDescent="0.35">
      <c r="B205" s="103">
        <v>9030040009</v>
      </c>
      <c r="C205" s="82" t="s">
        <v>60</v>
      </c>
      <c r="D205" s="52"/>
      <c r="E205" s="52"/>
      <c r="F205" s="52"/>
      <c r="G205" s="52"/>
      <c r="H205" s="52"/>
      <c r="I205" s="52"/>
      <c r="J205" s="118"/>
      <c r="K205" s="102">
        <f>$U$1*Q205*$K$190/100</f>
        <v>0</v>
      </c>
      <c r="L205" s="102">
        <f>$U$1*Q205*$L$190/100</f>
        <v>0</v>
      </c>
      <c r="M205" s="102">
        <f>$U$1*Q205*$M$190/100</f>
        <v>0</v>
      </c>
      <c r="N205" s="102">
        <f>$U$1*Q205*$N$190/100</f>
        <v>0</v>
      </c>
      <c r="O205" s="301">
        <v>245</v>
      </c>
      <c r="P205" s="113">
        <v>9.58</v>
      </c>
      <c r="Q205" s="105">
        <v>5.9</v>
      </c>
    </row>
    <row r="206" spans="2:18" ht="11.15" customHeight="1" x14ac:dyDescent="0.35">
      <c r="B206" s="103"/>
      <c r="C206" s="82"/>
      <c r="D206" s="52"/>
      <c r="E206" s="52"/>
      <c r="F206" s="52"/>
      <c r="G206" s="52"/>
      <c r="H206" s="52"/>
      <c r="I206" s="52"/>
      <c r="J206" s="52"/>
      <c r="K206" s="106"/>
      <c r="L206" s="106"/>
      <c r="M206" s="106"/>
      <c r="N206" s="106"/>
      <c r="P206" s="113"/>
      <c r="Q206" s="105"/>
    </row>
    <row r="207" spans="2:18" x14ac:dyDescent="0.35">
      <c r="B207" s="17" t="s">
        <v>665</v>
      </c>
    </row>
    <row r="208" spans="2:18" x14ac:dyDescent="0.35">
      <c r="N208" s="45"/>
      <c r="O208" s="45"/>
      <c r="P208" s="45"/>
      <c r="Q208" s="45"/>
      <c r="R208" s="45"/>
    </row>
    <row r="209" spans="2:21" s="45" customFormat="1" x14ac:dyDescent="0.35">
      <c r="B209" s="26" t="s">
        <v>27</v>
      </c>
      <c r="C209" s="28"/>
      <c r="D209" s="26" t="s">
        <v>84</v>
      </c>
      <c r="E209" s="28"/>
      <c r="F209" s="39"/>
      <c r="G209" s="39"/>
      <c r="H209" s="74"/>
      <c r="I209" s="74"/>
      <c r="J209" s="75"/>
      <c r="K209" s="76">
        <v>251</v>
      </c>
      <c r="L209" s="76">
        <f>K210+1</f>
        <v>301</v>
      </c>
      <c r="M209" s="76">
        <f>L210+1</f>
        <v>351</v>
      </c>
      <c r="N209" s="76">
        <f>M210+1</f>
        <v>401</v>
      </c>
      <c r="S209" s="52" t="s">
        <v>22</v>
      </c>
      <c r="T209" s="53">
        <f>W1</f>
        <v>49</v>
      </c>
      <c r="U209" s="19"/>
    </row>
    <row r="210" spans="2:21" s="45" customFormat="1" ht="11.6" x14ac:dyDescent="0.35">
      <c r="C210" s="28"/>
      <c r="D210" s="27"/>
      <c r="E210" s="28"/>
      <c r="F210" s="23"/>
      <c r="G210" s="70"/>
      <c r="H210" s="70"/>
      <c r="I210" s="70"/>
      <c r="J210" s="78" t="s">
        <v>26</v>
      </c>
      <c r="K210" s="96">
        <f>K209+$T$209</f>
        <v>300</v>
      </c>
      <c r="L210" s="96">
        <f>L209+$T$209</f>
        <v>350</v>
      </c>
      <c r="M210" s="96">
        <f>M209+$T$209</f>
        <v>400</v>
      </c>
      <c r="N210" s="96">
        <f>N209+$T$209</f>
        <v>450</v>
      </c>
      <c r="P210" s="45" t="s">
        <v>99</v>
      </c>
      <c r="Q210" s="45" t="s">
        <v>98</v>
      </c>
    </row>
    <row r="211" spans="2:21" s="45" customFormat="1" ht="12.45" customHeight="1" x14ac:dyDescent="0.35">
      <c r="B211" s="82"/>
      <c r="C211" s="82"/>
      <c r="D211" s="52"/>
      <c r="E211" s="52"/>
      <c r="F211" s="52"/>
      <c r="G211" s="52"/>
      <c r="H211" s="52"/>
      <c r="I211" s="52"/>
      <c r="J211" s="118"/>
      <c r="K211" s="37"/>
      <c r="L211" s="37"/>
      <c r="M211" s="37"/>
      <c r="N211" s="37"/>
      <c r="O211" s="19"/>
      <c r="P211" s="113"/>
      <c r="R211" s="19"/>
    </row>
    <row r="212" spans="2:21" ht="12.65" customHeight="1" x14ac:dyDescent="0.35">
      <c r="B212" s="103">
        <v>9030040010</v>
      </c>
      <c r="C212" s="82"/>
      <c r="D212" s="82">
        <v>80</v>
      </c>
      <c r="E212" s="52"/>
      <c r="F212" s="52"/>
      <c r="G212" s="52"/>
      <c r="H212" s="52"/>
      <c r="I212" s="52"/>
      <c r="J212" s="118"/>
      <c r="K212" s="102">
        <f>$U$1*Q212*$K$210/100</f>
        <v>0</v>
      </c>
      <c r="L212" s="102">
        <f>$U$1*Q212*$L$210/100</f>
        <v>0</v>
      </c>
      <c r="M212" s="102">
        <f>$U$1*Q212*$M$210/100</f>
        <v>0</v>
      </c>
      <c r="N212" s="102">
        <f>$U$1*Q212*$N$210/100</f>
        <v>0</v>
      </c>
      <c r="P212" s="113">
        <v>6.03</v>
      </c>
      <c r="Q212" s="105">
        <v>4.38</v>
      </c>
    </row>
    <row r="213" spans="2:21" ht="12.65" customHeight="1" x14ac:dyDescent="0.35">
      <c r="B213" s="103">
        <v>9030040011</v>
      </c>
      <c r="C213" s="52"/>
      <c r="D213" s="82">
        <v>100</v>
      </c>
      <c r="E213" s="52"/>
      <c r="F213" s="52"/>
      <c r="G213" s="52"/>
      <c r="H213" s="52"/>
      <c r="I213" s="52"/>
      <c r="J213" s="118"/>
      <c r="K213" s="102">
        <f>$U$1*Q213*$K$210/100</f>
        <v>0</v>
      </c>
      <c r="L213" s="102">
        <f>$U$1*Q213*$L$210/100</f>
        <v>0</v>
      </c>
      <c r="M213" s="102">
        <f>$U$1*Q213*$M$210/100</f>
        <v>0</v>
      </c>
      <c r="N213" s="102">
        <f>$U$1*Q213*$N$210/100</f>
        <v>0</v>
      </c>
      <c r="P213" s="113">
        <v>6.49</v>
      </c>
      <c r="Q213" s="105">
        <v>4.58</v>
      </c>
    </row>
    <row r="214" spans="2:21" ht="12.65" customHeight="1" x14ac:dyDescent="0.35">
      <c r="B214" s="103">
        <v>9030040012</v>
      </c>
      <c r="C214" s="52"/>
      <c r="D214" s="82">
        <v>120</v>
      </c>
      <c r="E214" s="52"/>
      <c r="F214" s="52"/>
      <c r="G214" s="52"/>
      <c r="H214" s="52"/>
      <c r="I214" s="52"/>
      <c r="J214" s="118"/>
      <c r="K214" s="102">
        <f>$U$1*Q214*$K$210/100</f>
        <v>0</v>
      </c>
      <c r="L214" s="102">
        <f>$U$1*Q214*$L$210/100</f>
        <v>0</v>
      </c>
      <c r="M214" s="102">
        <f>$U$1*Q214*$M$210/100</f>
        <v>0</v>
      </c>
      <c r="N214" s="102">
        <f>$U$1*Q214*$N$210/100</f>
        <v>0</v>
      </c>
      <c r="P214" s="113">
        <v>10.35</v>
      </c>
      <c r="Q214" s="105">
        <v>5.48</v>
      </c>
    </row>
    <row r="215" spans="2:21" ht="5.7" customHeight="1" x14ac:dyDescent="0.35"/>
    <row r="216" spans="2:21" ht="7.5" customHeight="1" x14ac:dyDescent="0.35"/>
    <row r="217" spans="2:21" x14ac:dyDescent="0.35">
      <c r="B217" s="17" t="s">
        <v>666</v>
      </c>
    </row>
    <row r="218" spans="2:21" x14ac:dyDescent="0.35">
      <c r="N218" s="45"/>
      <c r="O218" s="45"/>
      <c r="P218" s="45"/>
      <c r="Q218" s="45"/>
      <c r="R218" s="45"/>
    </row>
    <row r="219" spans="2:21" s="45" customFormat="1" x14ac:dyDescent="0.35">
      <c r="B219" s="26" t="s">
        <v>27</v>
      </c>
      <c r="C219" s="28"/>
      <c r="D219" s="26" t="s">
        <v>84</v>
      </c>
      <c r="E219" s="28"/>
      <c r="F219" s="39"/>
      <c r="G219" s="39"/>
      <c r="H219" s="74"/>
      <c r="I219" s="74"/>
      <c r="J219" s="75"/>
      <c r="K219" s="76">
        <v>251</v>
      </c>
      <c r="L219" s="76">
        <f>K220+1</f>
        <v>301</v>
      </c>
      <c r="M219" s="76">
        <f>L220+1</f>
        <v>351</v>
      </c>
      <c r="N219" s="76">
        <f>M220+1</f>
        <v>401</v>
      </c>
      <c r="S219" s="52" t="s">
        <v>22</v>
      </c>
      <c r="T219" s="53">
        <f>W1</f>
        <v>49</v>
      </c>
      <c r="U219" s="19"/>
    </row>
    <row r="220" spans="2:21" s="45" customFormat="1" ht="11.6" x14ac:dyDescent="0.35">
      <c r="C220" s="28"/>
      <c r="D220" s="27"/>
      <c r="E220" s="28"/>
      <c r="F220" s="23"/>
      <c r="G220" s="70"/>
      <c r="H220" s="70"/>
      <c r="I220" s="70"/>
      <c r="J220" s="78" t="s">
        <v>26</v>
      </c>
      <c r="K220" s="96">
        <f>K219+$T$219</f>
        <v>300</v>
      </c>
      <c r="L220" s="96">
        <f>L219+$T$219</f>
        <v>350</v>
      </c>
      <c r="M220" s="96">
        <f>M219+$T$219</f>
        <v>400</v>
      </c>
      <c r="N220" s="96">
        <f>N219+$T$219</f>
        <v>450</v>
      </c>
      <c r="O220" s="45" t="s">
        <v>750</v>
      </c>
      <c r="P220" s="44" t="s">
        <v>90</v>
      </c>
      <c r="Q220" s="45" t="s">
        <v>98</v>
      </c>
    </row>
    <row r="221" spans="2:21" s="45" customFormat="1" ht="12.45" customHeight="1" x14ac:dyDescent="0.35">
      <c r="B221" s="82"/>
      <c r="C221" s="82"/>
      <c r="D221" s="52"/>
      <c r="E221" s="52"/>
      <c r="F221" s="52"/>
      <c r="G221" s="52"/>
      <c r="H221" s="52"/>
      <c r="I221" s="52"/>
      <c r="J221" s="118"/>
      <c r="K221" s="37"/>
      <c r="L221" s="37"/>
      <c r="M221" s="37"/>
      <c r="N221" s="37"/>
      <c r="O221" s="19"/>
      <c r="P221" s="301"/>
      <c r="R221" s="19"/>
    </row>
    <row r="222" spans="2:21" s="117" customFormat="1" ht="12.65" customHeight="1" x14ac:dyDescent="0.35">
      <c r="B222" s="103">
        <v>9030050010</v>
      </c>
      <c r="C222" s="82" t="s">
        <v>61</v>
      </c>
      <c r="D222" s="82"/>
      <c r="E222" s="52"/>
      <c r="F222" s="52"/>
      <c r="G222" s="52"/>
      <c r="H222" s="52"/>
      <c r="I222" s="52"/>
      <c r="J222" s="118"/>
      <c r="K222" s="102">
        <f t="shared" ref="K222:K227" si="40">$U$1*Q222*$K$220/100</f>
        <v>0</v>
      </c>
      <c r="L222" s="102">
        <f t="shared" ref="L222:L227" si="41">$U$1*Q222*$L$220/100</f>
        <v>0</v>
      </c>
      <c r="M222" s="102">
        <f t="shared" ref="M222:M227" si="42">$U$1*Q222*$M$220/100</f>
        <v>0</v>
      </c>
      <c r="N222" s="102">
        <f t="shared" ref="N222:N227" si="43">$U$1*Q222*$N$220/100</f>
        <v>0</v>
      </c>
      <c r="O222" s="301">
        <v>245</v>
      </c>
      <c r="P222" s="301">
        <v>8.8800000000000008</v>
      </c>
      <c r="Q222" s="105">
        <v>5.0999999999999996</v>
      </c>
      <c r="R222" s="19"/>
    </row>
    <row r="223" spans="2:21" s="120" customFormat="1" ht="12.65" customHeight="1" x14ac:dyDescent="0.35">
      <c r="B223" s="103">
        <v>9030050027</v>
      </c>
      <c r="C223" s="82" t="s">
        <v>65</v>
      </c>
      <c r="D223" s="82"/>
      <c r="E223" s="52"/>
      <c r="F223" s="52"/>
      <c r="G223" s="52"/>
      <c r="H223" s="52"/>
      <c r="I223" s="52"/>
      <c r="J223" s="118"/>
      <c r="K223" s="102">
        <f t="shared" si="40"/>
        <v>0</v>
      </c>
      <c r="L223" s="102">
        <f t="shared" si="41"/>
        <v>0</v>
      </c>
      <c r="M223" s="102">
        <f t="shared" si="42"/>
        <v>0</v>
      </c>
      <c r="N223" s="102">
        <f t="shared" si="43"/>
        <v>0</v>
      </c>
      <c r="O223" s="301">
        <v>300</v>
      </c>
      <c r="P223" s="301">
        <v>9.49</v>
      </c>
      <c r="Q223" s="105">
        <v>5.0999999999999996</v>
      </c>
    </row>
    <row r="224" spans="2:21" s="120" customFormat="1" ht="12.65" customHeight="1" x14ac:dyDescent="0.35">
      <c r="B224" s="87"/>
      <c r="C224" s="100" t="s">
        <v>66</v>
      </c>
      <c r="D224" s="100"/>
      <c r="E224" s="88"/>
      <c r="F224" s="88"/>
      <c r="G224" s="88"/>
      <c r="H224" s="88"/>
      <c r="I224" s="88"/>
      <c r="J224" s="90"/>
      <c r="K224" s="91">
        <f t="shared" si="40"/>
        <v>0</v>
      </c>
      <c r="L224" s="91">
        <f t="shared" si="41"/>
        <v>0</v>
      </c>
      <c r="M224" s="91">
        <f t="shared" si="42"/>
        <v>0</v>
      </c>
      <c r="N224" s="91">
        <f t="shared" si="43"/>
        <v>0</v>
      </c>
      <c r="O224" s="301">
        <v>245</v>
      </c>
      <c r="P224" s="301">
        <v>8.8800000000000008</v>
      </c>
      <c r="Q224" s="105">
        <v>5.0999999999999996</v>
      </c>
    </row>
    <row r="225" spans="2:21" ht="12.65" customHeight="1" x14ac:dyDescent="0.35">
      <c r="B225" s="103">
        <v>9030050008</v>
      </c>
      <c r="C225" s="82" t="s">
        <v>62</v>
      </c>
      <c r="D225" s="82"/>
      <c r="E225" s="52"/>
      <c r="F225" s="52"/>
      <c r="G225" s="52"/>
      <c r="H225" s="52"/>
      <c r="I225" s="52"/>
      <c r="J225" s="118"/>
      <c r="K225" s="102">
        <f t="shared" si="40"/>
        <v>0</v>
      </c>
      <c r="L225" s="102">
        <f t="shared" si="41"/>
        <v>0</v>
      </c>
      <c r="M225" s="102">
        <f t="shared" si="42"/>
        <v>0</v>
      </c>
      <c r="N225" s="102">
        <f t="shared" si="43"/>
        <v>0</v>
      </c>
      <c r="O225" s="301">
        <v>245</v>
      </c>
      <c r="P225" s="301">
        <v>8.8800000000000008</v>
      </c>
      <c r="Q225" s="105">
        <v>5.0999999999999996</v>
      </c>
    </row>
    <row r="226" spans="2:21" ht="12.65" customHeight="1" x14ac:dyDescent="0.35">
      <c r="B226" s="103">
        <v>9030050007</v>
      </c>
      <c r="C226" s="52" t="s">
        <v>63</v>
      </c>
      <c r="D226" s="82"/>
      <c r="E226" s="52"/>
      <c r="F226" s="52"/>
      <c r="G226" s="52"/>
      <c r="H226" s="52"/>
      <c r="I226" s="52"/>
      <c r="J226" s="118"/>
      <c r="K226" s="102">
        <f t="shared" si="40"/>
        <v>0</v>
      </c>
      <c r="L226" s="102">
        <f t="shared" si="41"/>
        <v>0</v>
      </c>
      <c r="M226" s="102">
        <f t="shared" si="42"/>
        <v>0</v>
      </c>
      <c r="N226" s="102">
        <f t="shared" si="43"/>
        <v>0</v>
      </c>
      <c r="O226" s="301">
        <v>245</v>
      </c>
      <c r="P226" s="301">
        <v>8.8800000000000008</v>
      </c>
      <c r="Q226" s="105">
        <v>5.0999999999999996</v>
      </c>
    </row>
    <row r="227" spans="2:21" s="120" customFormat="1" ht="12.65" customHeight="1" x14ac:dyDescent="0.35">
      <c r="B227" s="87">
        <v>9030050009</v>
      </c>
      <c r="C227" s="88" t="s">
        <v>64</v>
      </c>
      <c r="D227" s="100"/>
      <c r="E227" s="88"/>
      <c r="F227" s="88"/>
      <c r="G227" s="88"/>
      <c r="H227" s="88"/>
      <c r="I227" s="88"/>
      <c r="J227" s="90"/>
      <c r="K227" s="91">
        <f t="shared" si="40"/>
        <v>0</v>
      </c>
      <c r="L227" s="91">
        <f t="shared" si="41"/>
        <v>0</v>
      </c>
      <c r="M227" s="91">
        <f t="shared" si="42"/>
        <v>0</v>
      </c>
      <c r="N227" s="91">
        <f t="shared" si="43"/>
        <v>0</v>
      </c>
      <c r="O227" s="301">
        <v>245</v>
      </c>
      <c r="P227" s="301">
        <v>8.8800000000000008</v>
      </c>
      <c r="Q227" s="105">
        <v>10.72</v>
      </c>
    </row>
    <row r="229" spans="2:21" x14ac:dyDescent="0.35">
      <c r="B229" s="17" t="s">
        <v>667</v>
      </c>
    </row>
    <row r="230" spans="2:21" x14ac:dyDescent="0.35">
      <c r="N230" s="45"/>
      <c r="O230" s="45"/>
      <c r="P230" s="45"/>
      <c r="Q230" s="45"/>
      <c r="R230" s="45"/>
    </row>
    <row r="231" spans="2:21" s="45" customFormat="1" ht="11.6" x14ac:dyDescent="0.35">
      <c r="B231" s="26" t="s">
        <v>27</v>
      </c>
      <c r="C231" s="28"/>
      <c r="D231" s="39" t="s">
        <v>86</v>
      </c>
      <c r="E231" s="28"/>
      <c r="F231" s="23"/>
      <c r="G231" s="70"/>
      <c r="H231" s="70"/>
      <c r="I231" s="70"/>
      <c r="J231" s="70"/>
      <c r="K231" s="70"/>
      <c r="L231" s="70"/>
      <c r="M231" s="70"/>
      <c r="N231" s="78" t="s">
        <v>77</v>
      </c>
      <c r="P231" s="42" t="s">
        <v>90</v>
      </c>
      <c r="Q231" s="133" t="s">
        <v>39</v>
      </c>
      <c r="R231" s="42" t="s">
        <v>40</v>
      </c>
    </row>
    <row r="232" spans="2:21" s="117" customFormat="1" ht="12.65" customHeight="1" x14ac:dyDescent="0.35">
      <c r="B232" s="103">
        <v>9030050018</v>
      </c>
      <c r="C232" s="82"/>
      <c r="D232" s="82">
        <v>80</v>
      </c>
      <c r="E232" s="52"/>
      <c r="F232" s="52"/>
      <c r="G232" s="52"/>
      <c r="H232" s="52"/>
      <c r="I232" s="52"/>
      <c r="J232" s="52"/>
      <c r="K232" s="52"/>
      <c r="L232" s="52"/>
      <c r="M232" s="118"/>
      <c r="N232" s="102">
        <f>($U$1*O232)*(100%+Q232)</f>
        <v>0</v>
      </c>
      <c r="O232" s="115">
        <f>(P232*(100%+R232))</f>
        <v>3.1185000000000005</v>
      </c>
      <c r="P232" s="320">
        <v>2.97</v>
      </c>
      <c r="Q232" s="296">
        <v>1.75</v>
      </c>
      <c r="R232" s="296">
        <v>0.05</v>
      </c>
    </row>
    <row r="233" spans="2:21" s="117" customFormat="1" ht="12.65" customHeight="1" x14ac:dyDescent="0.35">
      <c r="B233" s="103">
        <v>9030050019</v>
      </c>
      <c r="C233" s="82"/>
      <c r="D233" s="82">
        <v>100</v>
      </c>
      <c r="E233" s="52"/>
      <c r="F233" s="52"/>
      <c r="G233" s="52"/>
      <c r="H233" s="52"/>
      <c r="I233" s="52"/>
      <c r="J233" s="52"/>
      <c r="K233" s="52"/>
      <c r="L233" s="52"/>
      <c r="M233" s="118"/>
      <c r="N233" s="102">
        <f>($U$1*O233)*(100%+Q233)</f>
        <v>0</v>
      </c>
      <c r="O233" s="115">
        <f>(P233*(100%+R233))</f>
        <v>3.1185000000000005</v>
      </c>
      <c r="P233" s="320">
        <v>2.97</v>
      </c>
      <c r="Q233" s="296">
        <v>1.75</v>
      </c>
      <c r="R233" s="296">
        <v>0.05</v>
      </c>
    </row>
    <row r="234" spans="2:21" ht="12.65" customHeight="1" x14ac:dyDescent="0.35">
      <c r="B234" s="103">
        <v>9030050020</v>
      </c>
      <c r="C234" s="82"/>
      <c r="D234" s="82">
        <v>120</v>
      </c>
      <c r="E234" s="52"/>
      <c r="F234" s="52"/>
      <c r="G234" s="52"/>
      <c r="H234" s="52"/>
      <c r="I234" s="52"/>
      <c r="J234" s="52"/>
      <c r="K234" s="52"/>
      <c r="L234" s="52"/>
      <c r="M234" s="118"/>
      <c r="N234" s="102">
        <f>($U$1*O234)*(100%+Q234)</f>
        <v>0</v>
      </c>
      <c r="O234" s="115">
        <f>(P234*(100%+R234))</f>
        <v>3.9375</v>
      </c>
      <c r="P234" s="320">
        <v>3.75</v>
      </c>
      <c r="Q234" s="296">
        <v>1.75</v>
      </c>
      <c r="R234" s="296">
        <v>0.05</v>
      </c>
    </row>
    <row r="235" spans="2:21" ht="12.45" customHeight="1" x14ac:dyDescent="0.35">
      <c r="B235" s="82"/>
      <c r="C235" s="82"/>
      <c r="D235" s="8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2:21" ht="12.45" customHeight="1" x14ac:dyDescent="0.35">
      <c r="B236" s="82"/>
      <c r="C236" s="82"/>
      <c r="D236" s="8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2:21" x14ac:dyDescent="0.35">
      <c r="B237" s="17" t="s">
        <v>668</v>
      </c>
    </row>
    <row r="238" spans="2:21" x14ac:dyDescent="0.35">
      <c r="N238" s="45"/>
      <c r="O238" s="45"/>
      <c r="P238" s="45"/>
      <c r="Q238" s="45"/>
      <c r="R238" s="45"/>
    </row>
    <row r="239" spans="2:21" s="45" customFormat="1" x14ac:dyDescent="0.35">
      <c r="B239" s="26" t="s">
        <v>27</v>
      </c>
      <c r="C239" s="28"/>
      <c r="D239" s="26" t="s">
        <v>84</v>
      </c>
      <c r="E239" s="28"/>
      <c r="F239" s="168"/>
      <c r="G239" s="39"/>
      <c r="H239" s="74"/>
      <c r="I239" s="74"/>
      <c r="J239" s="75"/>
      <c r="K239" s="76">
        <v>251</v>
      </c>
      <c r="L239" s="76">
        <f>K240+1</f>
        <v>301</v>
      </c>
      <c r="M239" s="76">
        <f>L240+1</f>
        <v>351</v>
      </c>
      <c r="N239" s="76">
        <f>M240+1</f>
        <v>401</v>
      </c>
      <c r="S239" s="52" t="s">
        <v>22</v>
      </c>
      <c r="T239" s="53">
        <f>W1</f>
        <v>49</v>
      </c>
      <c r="U239" s="19"/>
    </row>
    <row r="240" spans="2:21" s="45" customFormat="1" ht="11.6" x14ac:dyDescent="0.35">
      <c r="C240" s="28"/>
      <c r="D240" s="27"/>
      <c r="E240" s="28"/>
      <c r="F240" s="23"/>
      <c r="G240" s="70"/>
      <c r="H240" s="70"/>
      <c r="I240" s="70"/>
      <c r="J240" s="78" t="s">
        <v>26</v>
      </c>
      <c r="K240" s="96">
        <f>K239+$T$239</f>
        <v>300</v>
      </c>
      <c r="L240" s="96">
        <f>L239+$T$239</f>
        <v>350</v>
      </c>
      <c r="M240" s="96">
        <f>M239+$T$239</f>
        <v>400</v>
      </c>
      <c r="N240" s="96">
        <f>N239+$T$239</f>
        <v>450</v>
      </c>
      <c r="P240" s="45" t="s">
        <v>99</v>
      </c>
      <c r="Q240" s="45" t="s">
        <v>98</v>
      </c>
    </row>
    <row r="241" spans="2:20" s="45" customFormat="1" ht="12.45" customHeight="1" x14ac:dyDescent="0.35">
      <c r="B241" s="82"/>
      <c r="C241" s="82"/>
      <c r="D241" s="52"/>
      <c r="E241" s="52"/>
      <c r="F241" s="52"/>
      <c r="G241" s="52"/>
      <c r="H241" s="52"/>
      <c r="I241" s="52"/>
      <c r="J241" s="118"/>
      <c r="K241" s="37"/>
      <c r="L241" s="37"/>
      <c r="M241" s="37"/>
      <c r="N241" s="37"/>
      <c r="O241" s="19"/>
      <c r="P241" s="113"/>
      <c r="R241" s="19"/>
    </row>
    <row r="242" spans="2:20" s="117" customFormat="1" ht="12.65" customHeight="1" x14ac:dyDescent="0.35">
      <c r="B242" s="103">
        <v>9030050004</v>
      </c>
      <c r="C242" s="82"/>
      <c r="D242" s="82">
        <v>80</v>
      </c>
      <c r="E242" s="52"/>
      <c r="F242" s="52"/>
      <c r="G242" s="52"/>
      <c r="H242" s="52"/>
      <c r="I242" s="52"/>
      <c r="J242" s="118"/>
      <c r="K242" s="102">
        <f>$U$1*Q242*$K$240/100</f>
        <v>0</v>
      </c>
      <c r="L242" s="102">
        <f>$U$1*Q242*$L$240/100</f>
        <v>0</v>
      </c>
      <c r="M242" s="102">
        <f>$U$1*Q242*$M$240/100</f>
        <v>0</v>
      </c>
      <c r="N242" s="102">
        <f>$U$1*Q242*$N$240/100</f>
        <v>0</v>
      </c>
      <c r="P242" s="113">
        <v>10.73</v>
      </c>
      <c r="Q242" s="105">
        <v>8.4499999999999993</v>
      </c>
    </row>
    <row r="243" spans="2:20" s="117" customFormat="1" ht="12.65" customHeight="1" x14ac:dyDescent="0.35">
      <c r="B243" s="103">
        <v>9030050005</v>
      </c>
      <c r="C243" s="82"/>
      <c r="D243" s="82">
        <v>100</v>
      </c>
      <c r="E243" s="52"/>
      <c r="F243" s="52"/>
      <c r="G243" s="52"/>
      <c r="H243" s="52"/>
      <c r="I243" s="52"/>
      <c r="J243" s="118"/>
      <c r="K243" s="102">
        <f>$U$1*Q243*$K$240/100</f>
        <v>0</v>
      </c>
      <c r="L243" s="102">
        <f>$U$1*Q243*$L$240/100</f>
        <v>0</v>
      </c>
      <c r="M243" s="102">
        <f>$U$1*Q243*$M$240/100</f>
        <v>0</v>
      </c>
      <c r="N243" s="102">
        <f>$U$1*Q243*$N$240/100</f>
        <v>0</v>
      </c>
      <c r="P243" s="113">
        <v>11.09</v>
      </c>
      <c r="Q243" s="105">
        <v>8.1999999999999993</v>
      </c>
    </row>
    <row r="244" spans="2:20" ht="12.65" customHeight="1" x14ac:dyDescent="0.35">
      <c r="B244" s="103">
        <v>9030050006</v>
      </c>
      <c r="C244" s="82"/>
      <c r="D244" s="82">
        <v>120</v>
      </c>
      <c r="E244" s="52"/>
      <c r="F244" s="52"/>
      <c r="G244" s="52"/>
      <c r="H244" s="52"/>
      <c r="I244" s="52"/>
      <c r="J244" s="118"/>
      <c r="K244" s="102">
        <f>$U$1*Q244*$K$240/100</f>
        <v>0</v>
      </c>
      <c r="L244" s="102">
        <f>$U$1*Q244*$L$240/100</f>
        <v>0</v>
      </c>
      <c r="M244" s="102">
        <f>$U$1*Q244*$M$240/100</f>
        <v>0</v>
      </c>
      <c r="N244" s="102">
        <f>$U$1*Q244*$N$240/100</f>
        <v>0</v>
      </c>
      <c r="P244" s="113">
        <v>21.55</v>
      </c>
      <c r="Q244" s="105">
        <v>13</v>
      </c>
    </row>
    <row r="245" spans="2:20" ht="7.5" customHeight="1" x14ac:dyDescent="0.35">
      <c r="B245" s="82"/>
      <c r="C245" s="82"/>
      <c r="D245" s="8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2:20" ht="7.5" customHeight="1" x14ac:dyDescent="0.35"/>
    <row r="247" spans="2:20" x14ac:dyDescent="0.35">
      <c r="B247" s="17" t="s">
        <v>669</v>
      </c>
    </row>
    <row r="248" spans="2:20" x14ac:dyDescent="0.35">
      <c r="N248" s="45"/>
      <c r="O248" s="45"/>
      <c r="P248" s="45"/>
    </row>
    <row r="249" spans="2:20" s="45" customFormat="1" x14ac:dyDescent="0.35">
      <c r="B249" s="26" t="s">
        <v>27</v>
      </c>
      <c r="C249" s="28"/>
      <c r="D249" s="26" t="s">
        <v>84</v>
      </c>
      <c r="E249" s="28"/>
      <c r="F249" s="168"/>
      <c r="G249" s="39"/>
      <c r="H249" s="74"/>
      <c r="I249" s="74"/>
      <c r="J249" s="75"/>
      <c r="K249" s="76">
        <v>251</v>
      </c>
      <c r="L249" s="76">
        <f>K250+1</f>
        <v>301</v>
      </c>
      <c r="M249" s="76">
        <f>L250+1</f>
        <v>351</v>
      </c>
      <c r="N249" s="76">
        <f>M250+1</f>
        <v>401</v>
      </c>
      <c r="S249" s="52" t="s">
        <v>22</v>
      </c>
      <c r="T249" s="53">
        <f>W1</f>
        <v>49</v>
      </c>
    </row>
    <row r="250" spans="2:20" s="45" customFormat="1" ht="11.6" x14ac:dyDescent="0.35">
      <c r="C250" s="28"/>
      <c r="D250" s="27"/>
      <c r="E250" s="28"/>
      <c r="F250" s="23"/>
      <c r="G250" s="70"/>
      <c r="H250" s="70"/>
      <c r="I250" s="70"/>
      <c r="J250" s="78" t="s">
        <v>26</v>
      </c>
      <c r="K250" s="96">
        <f>K249+$T$249</f>
        <v>300</v>
      </c>
      <c r="L250" s="96">
        <f>L249+$T$249</f>
        <v>350</v>
      </c>
      <c r="M250" s="96">
        <f>M249+$T$249</f>
        <v>400</v>
      </c>
      <c r="N250" s="96">
        <f>N249+$T$249</f>
        <v>450</v>
      </c>
      <c r="P250" s="45" t="s">
        <v>99</v>
      </c>
      <c r="Q250" s="45" t="s">
        <v>98</v>
      </c>
    </row>
    <row r="251" spans="2:20" s="45" customFormat="1" ht="12.45" customHeight="1" x14ac:dyDescent="0.35">
      <c r="B251" s="82"/>
      <c r="C251" s="82"/>
      <c r="D251" s="52"/>
      <c r="E251" s="52"/>
      <c r="F251" s="52"/>
      <c r="G251" s="52"/>
      <c r="H251" s="52"/>
      <c r="I251" s="52"/>
      <c r="J251" s="118"/>
      <c r="K251" s="37"/>
      <c r="L251" s="37"/>
      <c r="M251" s="37"/>
      <c r="N251" s="37"/>
      <c r="O251" s="19"/>
      <c r="P251" s="113"/>
      <c r="R251" s="19"/>
    </row>
    <row r="252" spans="2:20" s="120" customFormat="1" ht="12.65" customHeight="1" x14ac:dyDescent="0.35">
      <c r="B252" s="103">
        <v>9030050023</v>
      </c>
      <c r="C252" s="82"/>
      <c r="D252" s="82">
        <v>100</v>
      </c>
      <c r="E252" s="52"/>
      <c r="F252" s="52"/>
      <c r="G252" s="52"/>
      <c r="H252" s="52"/>
      <c r="I252" s="52"/>
      <c r="J252" s="118"/>
      <c r="K252" s="102">
        <f>$U$1*$Q$252*K250/100</f>
        <v>0</v>
      </c>
      <c r="L252" s="102">
        <f>$U$1*$Q$252*L250/100</f>
        <v>0</v>
      </c>
      <c r="M252" s="102">
        <f>$U$1*$Q$252*M250/100</f>
        <v>0</v>
      </c>
      <c r="N252" s="102">
        <f>$U$1*$Q$252*N250/100</f>
        <v>0</v>
      </c>
      <c r="O252" s="117"/>
      <c r="P252" s="113">
        <v>67.69</v>
      </c>
      <c r="Q252" s="105">
        <v>38</v>
      </c>
      <c r="R252" s="117"/>
      <c r="S252" s="117"/>
      <c r="T252" s="117"/>
    </row>
    <row r="253" spans="2:20" s="117" customFormat="1" ht="12.65" customHeight="1" x14ac:dyDescent="0.35">
      <c r="B253" s="103">
        <v>9030050024</v>
      </c>
      <c r="C253" s="82"/>
      <c r="D253" s="82">
        <v>120</v>
      </c>
      <c r="E253" s="52"/>
      <c r="F253" s="52"/>
      <c r="G253" s="52"/>
      <c r="H253" s="52"/>
      <c r="I253" s="52"/>
      <c r="J253" s="118"/>
      <c r="K253" s="102">
        <f>$U$1*$Q$253*K250/100</f>
        <v>0</v>
      </c>
      <c r="L253" s="102">
        <f>$U$1*$Q$253*L250/100</f>
        <v>0</v>
      </c>
      <c r="M253" s="102">
        <f>$U$1*$Q$253*M250/100</f>
        <v>0</v>
      </c>
      <c r="N253" s="102">
        <f>$U$1*$Q$253*N250/100</f>
        <v>0</v>
      </c>
      <c r="P253" s="113">
        <v>79.31</v>
      </c>
      <c r="Q253" s="105">
        <v>43</v>
      </c>
    </row>
    <row r="254" spans="2:20" s="117" customFormat="1" ht="15" customHeight="1" x14ac:dyDescent="0.35">
      <c r="B254" s="82"/>
      <c r="C254" s="82"/>
      <c r="D254" s="82"/>
      <c r="E254" s="52"/>
      <c r="F254" s="52"/>
      <c r="G254" s="52"/>
      <c r="H254" s="52"/>
      <c r="I254" s="52"/>
      <c r="J254" s="52"/>
      <c r="K254" s="106"/>
      <c r="L254" s="106"/>
      <c r="M254" s="106"/>
      <c r="N254" s="106"/>
      <c r="O254" s="19"/>
      <c r="P254" s="113"/>
      <c r="Q254" s="105"/>
      <c r="R254" s="19"/>
      <c r="S254" s="19"/>
      <c r="T254" s="19"/>
    </row>
    <row r="255" spans="2:20" x14ac:dyDescent="0.35">
      <c r="B255" s="17" t="s">
        <v>670</v>
      </c>
    </row>
    <row r="256" spans="2:20" x14ac:dyDescent="0.35">
      <c r="N256" s="45"/>
      <c r="O256" s="45"/>
      <c r="P256" s="45"/>
      <c r="Q256" s="45"/>
      <c r="R256" s="45"/>
    </row>
    <row r="257" spans="2:19" s="45" customFormat="1" ht="11.6" x14ac:dyDescent="0.35">
      <c r="B257" s="26" t="s">
        <v>27</v>
      </c>
      <c r="C257" s="28"/>
      <c r="D257" s="39" t="s">
        <v>86</v>
      </c>
      <c r="E257" s="28"/>
      <c r="F257" s="23"/>
      <c r="G257" s="70"/>
      <c r="H257" s="70"/>
      <c r="I257" s="70"/>
      <c r="J257" s="70"/>
      <c r="K257" s="70"/>
      <c r="L257" s="70"/>
      <c r="M257" s="70"/>
      <c r="N257" s="78" t="s">
        <v>77</v>
      </c>
      <c r="O257" s="346" t="s">
        <v>90</v>
      </c>
      <c r="P257" s="42" t="s">
        <v>422</v>
      </c>
      <c r="Q257" s="42" t="s">
        <v>30</v>
      </c>
      <c r="R257" s="133" t="s">
        <v>39</v>
      </c>
    </row>
    <row r="258" spans="2:19" s="117" customFormat="1" ht="12.65" customHeight="1" x14ac:dyDescent="0.35">
      <c r="B258" s="103">
        <v>9030050013</v>
      </c>
      <c r="C258" s="82" t="s">
        <v>183</v>
      </c>
      <c r="D258" s="82"/>
      <c r="E258" s="52"/>
      <c r="F258" s="52"/>
      <c r="G258" s="52"/>
      <c r="H258" s="52"/>
      <c r="I258" s="52"/>
      <c r="J258" s="52"/>
      <c r="K258" s="52"/>
      <c r="L258" s="52"/>
      <c r="M258" s="118"/>
      <c r="N258" s="102">
        <f>($U$1*O258)*(100%+R258)*(100%+$T$60)</f>
        <v>0</v>
      </c>
      <c r="O258" s="352">
        <f>P258*(100%-Q258)</f>
        <v>1.2045180000000002</v>
      </c>
      <c r="P258" s="320">
        <v>2.41</v>
      </c>
      <c r="Q258" s="353">
        <v>0.50019999999999998</v>
      </c>
      <c r="R258" s="296">
        <v>1</v>
      </c>
    </row>
    <row r="259" spans="2:19" s="117" customFormat="1" ht="12.65" customHeight="1" x14ac:dyDescent="0.35">
      <c r="B259" s="103">
        <v>9030050011</v>
      </c>
      <c r="C259" s="82" t="s">
        <v>181</v>
      </c>
      <c r="D259" s="82"/>
      <c r="E259" s="52"/>
      <c r="F259" s="52"/>
      <c r="G259" s="52"/>
      <c r="H259" s="52"/>
      <c r="I259" s="52"/>
      <c r="J259" s="52"/>
      <c r="K259" s="52"/>
      <c r="L259" s="52"/>
      <c r="M259" s="118"/>
      <c r="N259" s="102">
        <f>($U$1*O259)*(100%+R259)*(100%+$T$60)</f>
        <v>0</v>
      </c>
      <c r="O259" s="352">
        <f t="shared" ref="O259:O275" si="44">P259*(100%-Q259)</f>
        <v>1.2045180000000002</v>
      </c>
      <c r="P259" s="320">
        <v>2.41</v>
      </c>
      <c r="Q259" s="353">
        <v>0.50019999999999998</v>
      </c>
      <c r="R259" s="296">
        <v>1.2</v>
      </c>
    </row>
    <row r="260" spans="2:19" s="117" customFormat="1" ht="12.65" customHeight="1" x14ac:dyDescent="0.35">
      <c r="B260" s="103">
        <v>9030050025</v>
      </c>
      <c r="C260" s="82" t="s">
        <v>67</v>
      </c>
      <c r="D260" s="82"/>
      <c r="E260" s="52"/>
      <c r="F260" s="52"/>
      <c r="G260" s="52"/>
      <c r="H260" s="52"/>
      <c r="I260" s="52"/>
      <c r="J260" s="52"/>
      <c r="K260" s="52"/>
      <c r="L260" s="52"/>
      <c r="M260" s="118"/>
      <c r="N260" s="102">
        <f>($U$1*O260)*(100%+R260)*(100%+$T$60)</f>
        <v>0</v>
      </c>
      <c r="O260" s="352">
        <f t="shared" si="44"/>
        <v>1.9092359999999999</v>
      </c>
      <c r="P260" s="320">
        <v>3.82</v>
      </c>
      <c r="Q260" s="353">
        <v>0.50019999999999998</v>
      </c>
      <c r="R260" s="296">
        <v>1</v>
      </c>
    </row>
    <row r="261" spans="2:19" s="117" customFormat="1" ht="12.65" customHeight="1" x14ac:dyDescent="0.35">
      <c r="B261" s="103">
        <v>9030050012</v>
      </c>
      <c r="C261" s="82" t="s">
        <v>69</v>
      </c>
      <c r="D261" s="82"/>
      <c r="E261" s="52"/>
      <c r="F261" s="52"/>
      <c r="G261" s="52"/>
      <c r="H261" s="52"/>
      <c r="I261" s="52"/>
      <c r="J261" s="52"/>
      <c r="K261" s="52"/>
      <c r="L261" s="52"/>
      <c r="M261" s="118"/>
      <c r="N261" s="102">
        <f>($U$1*O261)*(100%+R261)*(100%+$T$60)</f>
        <v>0</v>
      </c>
      <c r="O261" s="352">
        <f t="shared" si="44"/>
        <v>1.9092359999999999</v>
      </c>
      <c r="P261" s="320">
        <v>3.82</v>
      </c>
      <c r="Q261" s="353">
        <v>0.50019999999999998</v>
      </c>
      <c r="R261" s="296">
        <v>1</v>
      </c>
    </row>
    <row r="262" spans="2:19" ht="15" customHeight="1" x14ac:dyDescent="0.35">
      <c r="O262" s="352"/>
      <c r="P262" s="18"/>
      <c r="Q262" s="18"/>
      <c r="R262" s="18"/>
    </row>
    <row r="263" spans="2:19" x14ac:dyDescent="0.35">
      <c r="B263" s="17" t="s">
        <v>107</v>
      </c>
      <c r="O263" s="352"/>
      <c r="P263" s="18"/>
      <c r="Q263" s="18"/>
      <c r="R263" s="18"/>
    </row>
    <row r="264" spans="2:19" x14ac:dyDescent="0.35">
      <c r="N264" s="45"/>
      <c r="O264" s="352"/>
      <c r="P264" s="42"/>
      <c r="Q264" s="42"/>
      <c r="R264" s="44"/>
      <c r="S264" s="45"/>
    </row>
    <row r="265" spans="2:19" s="45" customFormat="1" ht="11.6" x14ac:dyDescent="0.35">
      <c r="B265" s="26" t="s">
        <v>27</v>
      </c>
      <c r="C265" s="28"/>
      <c r="D265" s="39" t="s">
        <v>86</v>
      </c>
      <c r="E265" s="28"/>
      <c r="F265" s="23"/>
      <c r="G265" s="70"/>
      <c r="H265" s="70"/>
      <c r="I265" s="70"/>
      <c r="J265" s="70"/>
      <c r="K265" s="70"/>
      <c r="L265" s="70"/>
      <c r="M265" s="70"/>
      <c r="N265" s="78" t="s">
        <v>77</v>
      </c>
      <c r="O265" s="352" t="s">
        <v>90</v>
      </c>
      <c r="P265" s="42" t="s">
        <v>422</v>
      </c>
      <c r="Q265" s="42" t="s">
        <v>30</v>
      </c>
      <c r="R265" s="133" t="s">
        <v>39</v>
      </c>
    </row>
    <row r="266" spans="2:19" s="45" customFormat="1" ht="12.65" customHeight="1" x14ac:dyDescent="0.35">
      <c r="B266" s="103">
        <v>9030050026</v>
      </c>
      <c r="C266" s="82" t="s">
        <v>156</v>
      </c>
      <c r="D266" s="82"/>
      <c r="E266" s="52"/>
      <c r="F266" s="52"/>
      <c r="G266" s="52"/>
      <c r="H266" s="52"/>
      <c r="I266" s="52"/>
      <c r="J266" s="52"/>
      <c r="K266" s="52"/>
      <c r="L266" s="52"/>
      <c r="M266" s="118"/>
      <c r="N266" s="102">
        <f>($U$1*O266)*(100%+R266)*(100%+$T$60)</f>
        <v>0</v>
      </c>
      <c r="O266" s="352">
        <f t="shared" si="44"/>
        <v>6.9972000000000003</v>
      </c>
      <c r="P266" s="320">
        <v>14</v>
      </c>
      <c r="Q266" s="353">
        <v>0.50019999999999998</v>
      </c>
      <c r="R266" s="296">
        <v>0.95499999999999996</v>
      </c>
    </row>
    <row r="267" spans="2:19" s="117" customFormat="1" ht="12.65" customHeight="1" x14ac:dyDescent="0.35">
      <c r="B267" s="103">
        <v>9030050014</v>
      </c>
      <c r="C267" s="82" t="s">
        <v>105</v>
      </c>
      <c r="D267" s="82"/>
      <c r="E267" s="52"/>
      <c r="F267" s="52"/>
      <c r="G267" s="52"/>
      <c r="H267" s="52"/>
      <c r="I267" s="52"/>
      <c r="J267" s="52"/>
      <c r="K267" s="52"/>
      <c r="L267" s="52"/>
      <c r="M267" s="118"/>
      <c r="N267" s="102">
        <f>($U$1*O267)*(100%+R267)*(100%+$T$60)</f>
        <v>0</v>
      </c>
      <c r="O267" s="352">
        <f t="shared" si="44"/>
        <v>6.9972000000000003</v>
      </c>
      <c r="P267" s="320">
        <v>14</v>
      </c>
      <c r="Q267" s="353">
        <v>0.50019999999999998</v>
      </c>
      <c r="R267" s="296">
        <v>0.91</v>
      </c>
    </row>
    <row r="268" spans="2:19" s="117" customFormat="1" ht="12.65" customHeight="1" x14ac:dyDescent="0.35">
      <c r="B268" s="103">
        <v>9030050015</v>
      </c>
      <c r="C268" s="82" t="s">
        <v>64</v>
      </c>
      <c r="D268" s="82"/>
      <c r="E268" s="52"/>
      <c r="F268" s="52"/>
      <c r="G268" s="52"/>
      <c r="H268" s="52"/>
      <c r="I268" s="52"/>
      <c r="J268" s="52"/>
      <c r="K268" s="52"/>
      <c r="L268" s="52"/>
      <c r="M268" s="118"/>
      <c r="N268" s="102">
        <f>($U$1*O268)*(100%+R268)*(100%+$T$60)</f>
        <v>0</v>
      </c>
      <c r="O268" s="352">
        <f t="shared" si="44"/>
        <v>8.6915220000000009</v>
      </c>
      <c r="P268" s="320">
        <v>17.39</v>
      </c>
      <c r="Q268" s="353">
        <v>0.50019999999999998</v>
      </c>
      <c r="R268" s="296">
        <v>1.08</v>
      </c>
    </row>
    <row r="269" spans="2:19" s="117" customFormat="1" ht="6.45" customHeight="1" x14ac:dyDescent="0.35">
      <c r="B269" s="103"/>
      <c r="C269" s="82"/>
      <c r="D269" s="82"/>
      <c r="E269" s="52"/>
      <c r="F269" s="52"/>
      <c r="G269" s="52"/>
      <c r="H269" s="52"/>
      <c r="I269" s="52"/>
      <c r="J269" s="52"/>
      <c r="K269" s="52"/>
      <c r="L269" s="52"/>
      <c r="M269" s="52"/>
      <c r="N269" s="106"/>
      <c r="O269" s="352"/>
      <c r="P269" s="135"/>
      <c r="Q269" s="126"/>
      <c r="R269" s="296"/>
    </row>
    <row r="270" spans="2:19" ht="6.45" customHeight="1" x14ac:dyDescent="0.35">
      <c r="O270" s="352"/>
      <c r="P270" s="18"/>
      <c r="Q270" s="18"/>
      <c r="R270" s="18"/>
    </row>
    <row r="271" spans="2:19" x14ac:dyDescent="0.35">
      <c r="B271" s="17" t="s">
        <v>108</v>
      </c>
      <c r="O271" s="352"/>
      <c r="P271" s="18"/>
      <c r="Q271" s="18"/>
      <c r="R271" s="18"/>
    </row>
    <row r="272" spans="2:19" x14ac:dyDescent="0.35">
      <c r="N272" s="45"/>
      <c r="O272" s="352"/>
      <c r="P272" s="44"/>
      <c r="Q272" s="44"/>
      <c r="R272" s="18"/>
    </row>
    <row r="273" spans="2:20" s="45" customFormat="1" ht="12.45" customHeight="1" x14ac:dyDescent="0.35">
      <c r="B273" s="26" t="s">
        <v>27</v>
      </c>
      <c r="C273" s="28"/>
      <c r="D273" s="39" t="s">
        <v>86</v>
      </c>
      <c r="E273" s="28"/>
      <c r="F273" s="23"/>
      <c r="G273" s="70"/>
      <c r="H273" s="70"/>
      <c r="I273" s="70"/>
      <c r="J273" s="70"/>
      <c r="K273" s="70"/>
      <c r="L273" s="70"/>
      <c r="M273" s="70"/>
      <c r="N273" s="78" t="s">
        <v>77</v>
      </c>
      <c r="O273" s="352" t="s">
        <v>90</v>
      </c>
      <c r="P273" s="42" t="s">
        <v>422</v>
      </c>
      <c r="Q273" s="42" t="s">
        <v>30</v>
      </c>
      <c r="R273" s="133" t="s">
        <v>39</v>
      </c>
    </row>
    <row r="274" spans="2:20" s="117" customFormat="1" ht="12.65" customHeight="1" x14ac:dyDescent="0.35">
      <c r="B274" s="103">
        <v>9030050016</v>
      </c>
      <c r="C274" s="82"/>
      <c r="D274" s="82">
        <v>80</v>
      </c>
      <c r="E274" s="52"/>
      <c r="F274" s="52"/>
      <c r="G274" s="106"/>
      <c r="H274" s="106"/>
      <c r="I274" s="106"/>
      <c r="J274" s="106"/>
      <c r="K274" s="106"/>
      <c r="L274" s="106"/>
      <c r="M274" s="122"/>
      <c r="N274" s="102">
        <f>($U$1*O274)*(100%+R274*(100%+T274))</f>
        <v>0</v>
      </c>
      <c r="O274" s="352">
        <f t="shared" si="44"/>
        <v>1.8439680000000001</v>
      </c>
      <c r="P274" s="320">
        <v>3.92</v>
      </c>
      <c r="Q274" s="353">
        <v>0.52959999999999996</v>
      </c>
      <c r="R274" s="296">
        <v>2.5499999999999998</v>
      </c>
      <c r="S274" s="169"/>
      <c r="T274" s="95"/>
    </row>
    <row r="275" spans="2:20" s="117" customFormat="1" ht="12.65" customHeight="1" x14ac:dyDescent="0.35">
      <c r="B275" s="103">
        <v>9030050017</v>
      </c>
      <c r="C275" s="82"/>
      <c r="D275" s="82">
        <v>100</v>
      </c>
      <c r="E275" s="52"/>
      <c r="F275" s="52"/>
      <c r="G275" s="106"/>
      <c r="H275" s="106"/>
      <c r="I275" s="106"/>
      <c r="J275" s="106"/>
      <c r="K275" s="106"/>
      <c r="L275" s="106"/>
      <c r="M275" s="122"/>
      <c r="N275" s="102">
        <f>($U$1*O275)*(100%+R275*(100%+T275))</f>
        <v>0</v>
      </c>
      <c r="O275" s="352">
        <f t="shared" si="44"/>
        <v>1.9897920000000004</v>
      </c>
      <c r="P275" s="320">
        <v>4.2300000000000004</v>
      </c>
      <c r="Q275" s="353">
        <v>0.52959999999999996</v>
      </c>
      <c r="R275" s="296">
        <v>2.35</v>
      </c>
      <c r="S275" s="169"/>
      <c r="T275" s="95"/>
    </row>
    <row r="276" spans="2:20" x14ac:dyDescent="0.35">
      <c r="P276" s="18"/>
      <c r="Q276" s="18"/>
      <c r="R276" s="18"/>
    </row>
    <row r="277" spans="2:20" x14ac:dyDescent="0.35">
      <c r="P277" s="18"/>
      <c r="Q277" s="18"/>
    </row>
    <row r="278" spans="2:20" x14ac:dyDescent="0.35">
      <c r="P278" s="18"/>
      <c r="Q278" s="18"/>
    </row>
    <row r="279" spans="2:20" x14ac:dyDescent="0.35">
      <c r="P279" s="18"/>
      <c r="Q279" s="18"/>
    </row>
  </sheetData>
  <sheetProtection algorithmName="SHA-512" hashValue="1i5R4yTg7IYgJ++yqUloOgglwUfBaKblkTOyY4uxGh9TZpOBmvctYbCMGYi4yVu3mdKCwSjaKTfeMf3eUbSvTw==" saltValue="LoYBPdq84HvtNhzJ31Zkmg==" spinCount="100000" sheet="1" objects="1" scenarios="1"/>
  <conditionalFormatting sqref="B8:N17">
    <cfRule type="expression" dxfId="248" priority="24">
      <formula>MOD(ROW(),2)=0</formula>
    </cfRule>
  </conditionalFormatting>
  <conditionalFormatting sqref="B26:N35">
    <cfRule type="expression" dxfId="247" priority="40">
      <formula>MOD(ROW(),2)=0</formula>
    </cfRule>
  </conditionalFormatting>
  <conditionalFormatting sqref="B44:N53">
    <cfRule type="expression" dxfId="246" priority="39">
      <formula>MOD(ROW(),2)=0</formula>
    </cfRule>
  </conditionalFormatting>
  <conditionalFormatting sqref="B60:N65">
    <cfRule type="expression" dxfId="245" priority="42">
      <formula>MOD(ROW(),2)=0</formula>
    </cfRule>
  </conditionalFormatting>
  <conditionalFormatting sqref="B72:N75 B172:N175 B212:N214 B232:N234">
    <cfRule type="expression" dxfId="244" priority="52">
      <formula>MOD(ROW(),2)=0</formula>
    </cfRule>
  </conditionalFormatting>
  <conditionalFormatting sqref="B82:N92">
    <cfRule type="expression" dxfId="243" priority="18">
      <formula>MOD(ROW(),2)=0</formula>
    </cfRule>
  </conditionalFormatting>
  <conditionalFormatting sqref="B112:N122">
    <cfRule type="expression" dxfId="242" priority="6">
      <formula>MOD(ROW(),2)=0</formula>
    </cfRule>
  </conditionalFormatting>
  <conditionalFormatting sqref="B128:N131">
    <cfRule type="expression" dxfId="241" priority="12">
      <formula>MOD(ROW(),2)=0</formula>
    </cfRule>
  </conditionalFormatting>
  <conditionalFormatting sqref="B136:N139">
    <cfRule type="expression" dxfId="240" priority="10">
      <formula>MOD(ROW(),2)=0</formula>
    </cfRule>
  </conditionalFormatting>
  <conditionalFormatting sqref="B144:N147 B153:N153">
    <cfRule type="expression" dxfId="239" priority="47">
      <formula>MOD(ROW(),2)=0</formula>
    </cfRule>
  </conditionalFormatting>
  <conditionalFormatting sqref="B160:N165">
    <cfRule type="expression" dxfId="238" priority="34">
      <formula>MOD(ROW(),2)=0</formula>
    </cfRule>
  </conditionalFormatting>
  <conditionalFormatting sqref="B182:N184">
    <cfRule type="expression" dxfId="237" priority="32">
      <formula>MOD(ROW(),2)=0</formula>
    </cfRule>
  </conditionalFormatting>
  <conditionalFormatting sqref="B192:N195 B197:N200 B202:N205">
    <cfRule type="expression" dxfId="236" priority="31">
      <formula>MOD(ROW(),2)=0</formula>
    </cfRule>
  </conditionalFormatting>
  <conditionalFormatting sqref="B222:N227">
    <cfRule type="expression" dxfId="235" priority="29">
      <formula>MOD(ROW(),2)=0</formula>
    </cfRule>
  </conditionalFormatting>
  <conditionalFormatting sqref="B242:N245">
    <cfRule type="expression" dxfId="234" priority="5">
      <formula>MOD(ROW(),2)=0</formula>
    </cfRule>
  </conditionalFormatting>
  <conditionalFormatting sqref="B252:N253">
    <cfRule type="expression" dxfId="233" priority="2">
      <formula>MOD(ROW(),2)=0</formula>
    </cfRule>
  </conditionalFormatting>
  <conditionalFormatting sqref="B258:N261">
    <cfRule type="expression" dxfId="232" priority="1">
      <formula>MOD(ROW(),2)=0</formula>
    </cfRule>
  </conditionalFormatting>
  <conditionalFormatting sqref="B266:N268">
    <cfRule type="expression" dxfId="231" priority="9">
      <formula>MOD(ROW(),2)=0</formula>
    </cfRule>
  </conditionalFormatting>
  <conditionalFormatting sqref="B274:N275">
    <cfRule type="expression" dxfId="230" priority="8">
      <formula>MOD(ROW(),2)=0</formula>
    </cfRule>
  </conditionalFormatting>
  <conditionalFormatting sqref="C60:C61">
    <cfRule type="expression" dxfId="229" priority="49">
      <formula>MOD(ROW(),2)=0</formula>
    </cfRule>
  </conditionalFormatting>
  <conditionalFormatting sqref="C72:C73">
    <cfRule type="expression" dxfId="228" priority="22">
      <formula>MOD(ROW(),2)=0</formula>
    </cfRule>
  </conditionalFormatting>
  <conditionalFormatting sqref="C62:D65">
    <cfRule type="expression" dxfId="227" priority="51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4" orientation="portrait" r:id="rId1"/>
  <headerFooter>
    <oddHeader>&amp;L&amp;G&amp;R&amp;"Century Gothic,Fett"&amp;16&amp;A</oddHeader>
  </headerFooter>
  <rowBreaks count="6" manualBreakCount="6">
    <brk id="53" max="13" man="1"/>
    <brk id="102" max="16383" man="1"/>
    <brk id="153" max="16383" man="1"/>
    <brk id="206" max="16383" man="1"/>
    <brk id="235" max="16383" man="1"/>
    <brk id="276" max="13" man="1"/>
  </rowBreaks>
  <ignoredErrors>
    <ignoredError sqref="J3:K3 K39:L39 L3:N3 M39:N39" numberStoredAsText="1"/>
  </ignoredError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9" tint="-0.249977111117893"/>
  </sheetPr>
  <dimension ref="A1:X74"/>
  <sheetViews>
    <sheetView showGridLines="0" view="pageBreakPreview" zoomScaleNormal="100" zoomScaleSheetLayoutView="100" workbookViewId="0">
      <selection activeCell="H12" sqref="H12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0.75" style="18" customWidth="1"/>
    <col min="4" max="5" width="5.25" style="19" customWidth="1"/>
    <col min="6" max="6" width="10.75" style="19" customWidth="1"/>
    <col min="7" max="9" width="4.75" style="19" customWidth="1"/>
    <col min="10" max="10" width="0.25" style="19" hidden="1" customWidth="1"/>
    <col min="11" max="11" width="1.25" style="19" customWidth="1"/>
    <col min="12" max="12" width="3.75" style="19" customWidth="1"/>
    <col min="13" max="13" width="4.75" style="19" customWidth="1"/>
    <col min="14" max="14" width="4.75" style="124" customWidth="1"/>
    <col min="15" max="15" width="4.75" style="125" hidden="1" customWidth="1" outlineLevel="1"/>
    <col min="16" max="16" width="5.75" style="19" hidden="1" customWidth="1" outlineLevel="1"/>
    <col min="17" max="18" width="6.25" style="126" hidden="1" customWidth="1" outlineLevel="1"/>
    <col min="19" max="19" width="13.125" style="19" hidden="1" customWidth="1" outlineLevel="1"/>
    <col min="20" max="20" width="11.25" style="19" hidden="1" customWidth="1" outlineLevel="1"/>
    <col min="21" max="21" width="2.25" style="19" hidden="1" customWidth="1" outlineLevel="1"/>
    <col min="22" max="22" width="21" style="19" hidden="1" customWidth="1" outlineLevel="1"/>
    <col min="23" max="23" width="11.25" style="19" hidden="1" customWidth="1" outlineLevel="1"/>
    <col min="24" max="24" width="11.25" style="19" collapsed="1"/>
    <col min="25" max="16384" width="11.25" style="19"/>
  </cols>
  <sheetData>
    <row r="1" spans="1:23" ht="6.65" customHeight="1" thickBot="1" x14ac:dyDescent="0.4"/>
    <row r="2" spans="1:23" ht="23.7" customHeight="1" thickBot="1" x14ac:dyDescent="0.4">
      <c r="A2" s="45"/>
      <c r="B2" s="26"/>
      <c r="C2" s="42"/>
      <c r="D2" s="26"/>
      <c r="E2" s="26"/>
      <c r="F2" s="26"/>
      <c r="G2" s="26"/>
      <c r="H2" s="26"/>
      <c r="I2" s="26"/>
      <c r="J2" s="26"/>
      <c r="K2" s="26"/>
      <c r="L2" s="26"/>
      <c r="M2" s="45"/>
      <c r="O2" s="132"/>
      <c r="P2" s="26"/>
      <c r="S2" s="310" t="s">
        <v>40</v>
      </c>
      <c r="T2" s="359">
        <v>0</v>
      </c>
      <c r="U2" s="19">
        <f>(1-T3)*(1+T4)</f>
        <v>0</v>
      </c>
      <c r="V2" s="22"/>
      <c r="W2" s="129"/>
    </row>
    <row r="3" spans="1:23" s="1" customFormat="1" ht="28.75" thickBot="1" x14ac:dyDescent="0.85">
      <c r="B3" s="9" t="s">
        <v>123</v>
      </c>
      <c r="C3" s="170"/>
      <c r="N3" s="171"/>
      <c r="O3" s="172"/>
      <c r="Q3" s="173"/>
      <c r="R3" s="173"/>
      <c r="S3" s="321" t="s">
        <v>30</v>
      </c>
      <c r="T3" s="322">
        <f>Inhaltsverzeichnis!K19</f>
        <v>1</v>
      </c>
    </row>
    <row r="4" spans="1:23" ht="18.45" thickBot="1" x14ac:dyDescent="0.4">
      <c r="N4" s="144"/>
      <c r="O4" s="132"/>
      <c r="S4" s="310" t="s">
        <v>31</v>
      </c>
      <c r="T4" s="323">
        <v>0</v>
      </c>
    </row>
    <row r="5" spans="1:23" s="26" customFormat="1" ht="12.45" customHeight="1" x14ac:dyDescent="0.35">
      <c r="A5" s="19"/>
      <c r="B5" s="26" t="s">
        <v>27</v>
      </c>
      <c r="C5" s="45"/>
      <c r="D5" s="39" t="s">
        <v>86</v>
      </c>
      <c r="E5" s="28"/>
      <c r="F5" s="27"/>
      <c r="G5" s="27"/>
      <c r="H5" s="27"/>
      <c r="I5" s="27"/>
      <c r="J5" s="27"/>
      <c r="K5" s="27"/>
      <c r="L5" s="27"/>
      <c r="M5" s="23"/>
      <c r="N5" s="131" t="s">
        <v>77</v>
      </c>
      <c r="O5" s="132"/>
      <c r="P5" s="42" t="s">
        <v>90</v>
      </c>
      <c r="Q5" s="108" t="s">
        <v>39</v>
      </c>
      <c r="R5" s="133" t="s">
        <v>40</v>
      </c>
      <c r="S5" s="22"/>
      <c r="T5" s="138"/>
    </row>
    <row r="6" spans="1:23" s="26" customFormat="1" ht="12.45" customHeight="1" x14ac:dyDescent="0.35">
      <c r="A6" s="19"/>
      <c r="B6" s="103">
        <v>9060020009</v>
      </c>
      <c r="C6" s="52" t="s">
        <v>18</v>
      </c>
      <c r="D6" s="139"/>
      <c r="E6" s="52" t="s">
        <v>81</v>
      </c>
      <c r="F6" s="52"/>
      <c r="G6" s="52"/>
      <c r="H6" s="52"/>
      <c r="I6" s="52"/>
      <c r="J6" s="52"/>
      <c r="K6" s="52"/>
      <c r="L6" s="106"/>
      <c r="M6" s="122"/>
      <c r="N6" s="141">
        <f>($U$2*O6)*(100%+Q6)</f>
        <v>0</v>
      </c>
      <c r="O6" s="132">
        <f>(P6*(100%+R6))</f>
        <v>2.16</v>
      </c>
      <c r="P6" s="318">
        <v>1.8</v>
      </c>
      <c r="Q6" s="126">
        <v>1.1599999999999999</v>
      </c>
      <c r="R6" s="126">
        <v>0.2</v>
      </c>
      <c r="S6" s="22"/>
      <c r="T6" s="138"/>
    </row>
    <row r="7" spans="1:23" s="26" customFormat="1" ht="12.45" customHeight="1" x14ac:dyDescent="0.35">
      <c r="A7" s="19"/>
      <c r="B7" s="87"/>
      <c r="C7" s="100" t="s">
        <v>38</v>
      </c>
      <c r="D7" s="88"/>
      <c r="E7" s="88" t="s">
        <v>81</v>
      </c>
      <c r="F7" s="88"/>
      <c r="G7" s="88"/>
      <c r="H7" s="88"/>
      <c r="I7" s="88"/>
      <c r="J7" s="88"/>
      <c r="K7" s="88"/>
      <c r="L7" s="111"/>
      <c r="M7" s="112"/>
      <c r="N7" s="145">
        <f>($U$2*O7)*(100%+Q7)</f>
        <v>0</v>
      </c>
      <c r="O7" s="132">
        <f>(P7*(100%+R7))</f>
        <v>2.2200000000000002</v>
      </c>
      <c r="P7" s="318">
        <v>2.2200000000000002</v>
      </c>
      <c r="Q7" s="126">
        <v>1.1599999999999999</v>
      </c>
      <c r="R7" s="126">
        <v>0</v>
      </c>
      <c r="S7" s="22"/>
      <c r="T7" s="138"/>
    </row>
    <row r="8" spans="1:23" s="26" customFormat="1" ht="12.45" customHeight="1" x14ac:dyDescent="0.35">
      <c r="A8" s="117"/>
      <c r="B8" s="103">
        <v>9060020010</v>
      </c>
      <c r="C8" s="52" t="s">
        <v>19</v>
      </c>
      <c r="D8" s="139"/>
      <c r="E8" s="52" t="s">
        <v>81</v>
      </c>
      <c r="F8" s="52"/>
      <c r="G8" s="52"/>
      <c r="H8" s="52"/>
      <c r="I8" s="52"/>
      <c r="J8" s="52"/>
      <c r="K8" s="52"/>
      <c r="L8" s="106"/>
      <c r="M8" s="122"/>
      <c r="N8" s="141">
        <f>($U$2*O8)*(100%+Q8)</f>
        <v>0</v>
      </c>
      <c r="O8" s="132">
        <f>(P8*(100%+R8))</f>
        <v>2.2799999999999998</v>
      </c>
      <c r="P8" s="318">
        <v>1.9</v>
      </c>
      <c r="Q8" s="126">
        <v>1.1000000000000001</v>
      </c>
      <c r="R8" s="126">
        <v>0.2</v>
      </c>
      <c r="S8" s="139"/>
      <c r="T8" s="140"/>
    </row>
    <row r="9" spans="1:23" s="26" customFormat="1" ht="12.45" customHeight="1" x14ac:dyDescent="0.35">
      <c r="A9" s="117"/>
      <c r="B9" s="103">
        <v>9060020001</v>
      </c>
      <c r="C9" s="52" t="s">
        <v>20</v>
      </c>
      <c r="D9" s="139"/>
      <c r="E9" s="52" t="s">
        <v>81</v>
      </c>
      <c r="F9" s="52"/>
      <c r="G9" s="52"/>
      <c r="H9" s="52"/>
      <c r="I9" s="52"/>
      <c r="J9" s="52"/>
      <c r="K9" s="52"/>
      <c r="L9" s="106"/>
      <c r="M9" s="122"/>
      <c r="N9" s="141">
        <f>($U$2*O9)*(100%+Q9)</f>
        <v>0</v>
      </c>
      <c r="O9" s="132">
        <f>(P9*(100%+R9))</f>
        <v>2.6759999999999997</v>
      </c>
      <c r="P9" s="318">
        <v>2.23</v>
      </c>
      <c r="Q9" s="126">
        <v>1.03</v>
      </c>
      <c r="R9" s="126">
        <v>0.2</v>
      </c>
      <c r="S9" s="139"/>
      <c r="T9" s="140"/>
    </row>
    <row r="10" spans="1:23" s="52" customFormat="1" ht="12.45" customHeight="1" x14ac:dyDescent="0.35">
      <c r="A10" s="117"/>
      <c r="B10" s="103">
        <v>9060020002</v>
      </c>
      <c r="C10" s="52" t="s">
        <v>82</v>
      </c>
      <c r="D10" s="139"/>
      <c r="E10" s="52" t="s">
        <v>81</v>
      </c>
      <c r="L10" s="106"/>
      <c r="M10" s="122"/>
      <c r="N10" s="141">
        <f>($U$2*O10)*(100%+Q10)</f>
        <v>0</v>
      </c>
      <c r="O10" s="143">
        <f>(P10*(100%+R10))</f>
        <v>3.6359999999999997</v>
      </c>
      <c r="P10" s="318">
        <v>3.03</v>
      </c>
      <c r="Q10" s="126">
        <v>1.1499999999999999</v>
      </c>
      <c r="R10" s="126">
        <v>0.2</v>
      </c>
      <c r="S10" s="45"/>
      <c r="T10" s="45"/>
    </row>
    <row r="11" spans="1:23" s="45" customFormat="1" ht="12.45" customHeight="1" x14ac:dyDescent="0.35">
      <c r="A11" s="117"/>
      <c r="B11" s="82"/>
      <c r="C11" s="52"/>
      <c r="D11" s="139"/>
      <c r="E11" s="52"/>
      <c r="F11" s="52"/>
      <c r="G11" s="52"/>
      <c r="H11" s="52"/>
      <c r="I11" s="52"/>
      <c r="J11" s="52"/>
      <c r="K11" s="52"/>
      <c r="L11" s="106"/>
      <c r="M11" s="106"/>
      <c r="N11" s="147"/>
      <c r="O11" s="143"/>
      <c r="P11" s="137"/>
      <c r="Q11" s="126"/>
      <c r="R11" s="126"/>
      <c r="S11" s="92"/>
      <c r="T11" s="92"/>
      <c r="U11" s="26"/>
    </row>
    <row r="12" spans="1:23" s="92" customFormat="1" x14ac:dyDescent="0.35">
      <c r="A12" s="117"/>
      <c r="B12" s="82"/>
      <c r="C12" s="82"/>
      <c r="D12" s="82"/>
      <c r="E12" s="52"/>
      <c r="F12" s="52"/>
      <c r="G12" s="52"/>
      <c r="H12" s="52"/>
      <c r="I12" s="52"/>
      <c r="J12" s="52"/>
      <c r="K12" s="52"/>
      <c r="L12" s="52"/>
      <c r="M12" s="52"/>
      <c r="N12" s="147"/>
      <c r="O12" s="143"/>
      <c r="P12" s="117"/>
      <c r="Q12" s="126"/>
      <c r="R12" s="126"/>
      <c r="S12" s="45"/>
      <c r="T12" s="45"/>
    </row>
    <row r="13" spans="1:23" s="45" customFormat="1" ht="12.45" customHeight="1" x14ac:dyDescent="0.35">
      <c r="A13" s="19"/>
      <c r="B13" s="17" t="s">
        <v>671</v>
      </c>
      <c r="C13" s="18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24"/>
      <c r="O13" s="125"/>
      <c r="P13" s="19"/>
      <c r="Q13" s="126"/>
      <c r="R13" s="126"/>
      <c r="S13" s="19"/>
      <c r="T13" s="19"/>
    </row>
    <row r="14" spans="1:23" x14ac:dyDescent="0.35">
      <c r="N14" s="144"/>
      <c r="O14" s="132"/>
    </row>
    <row r="15" spans="1:23" x14ac:dyDescent="0.35">
      <c r="B15" s="26" t="s">
        <v>27</v>
      </c>
      <c r="C15" s="28"/>
      <c r="D15" s="26" t="s">
        <v>86</v>
      </c>
      <c r="E15" s="28"/>
      <c r="F15" s="39"/>
      <c r="G15" s="39"/>
      <c r="H15" s="74"/>
      <c r="I15" s="74"/>
      <c r="J15" s="74"/>
      <c r="K15" s="74"/>
      <c r="L15" s="74"/>
      <c r="M15" s="74"/>
      <c r="N15" s="131" t="s">
        <v>77</v>
      </c>
      <c r="O15" s="132"/>
      <c r="P15" s="42" t="s">
        <v>90</v>
      </c>
      <c r="Q15" s="108" t="s">
        <v>39</v>
      </c>
      <c r="R15" s="133" t="s">
        <v>40</v>
      </c>
    </row>
    <row r="16" spans="1:23" ht="12.45" customHeight="1" x14ac:dyDescent="0.35">
      <c r="A16" s="45"/>
      <c r="B16" s="103">
        <v>9060020011</v>
      </c>
      <c r="C16" s="82"/>
      <c r="D16" s="82">
        <v>60</v>
      </c>
      <c r="E16" s="52"/>
      <c r="F16" s="52"/>
      <c r="G16" s="52"/>
      <c r="H16" s="52"/>
      <c r="I16" s="52"/>
      <c r="J16" s="52"/>
      <c r="K16" s="52"/>
      <c r="L16" s="52"/>
      <c r="M16" s="118"/>
      <c r="N16" s="141">
        <f>($U$2*O16)*(100%+Q16)</f>
        <v>0</v>
      </c>
      <c r="O16" s="143">
        <f>(P16*(100%+R16))</f>
        <v>1.5435000000000001</v>
      </c>
      <c r="P16" s="318">
        <v>1.47</v>
      </c>
      <c r="Q16" s="126">
        <v>1.3</v>
      </c>
      <c r="R16" s="107">
        <v>0.05</v>
      </c>
      <c r="S16" s="52"/>
      <c r="T16" s="53"/>
    </row>
    <row r="17" spans="1:21" s="45" customFormat="1" ht="12.45" customHeight="1" x14ac:dyDescent="0.35">
      <c r="B17" s="103">
        <v>9060020003</v>
      </c>
      <c r="C17" s="82"/>
      <c r="D17" s="82">
        <v>80</v>
      </c>
      <c r="E17" s="52"/>
      <c r="F17" s="52"/>
      <c r="G17" s="52"/>
      <c r="H17" s="52"/>
      <c r="I17" s="52"/>
      <c r="J17" s="52"/>
      <c r="K17" s="52"/>
      <c r="L17" s="52"/>
      <c r="M17" s="118"/>
      <c r="N17" s="141">
        <f>($U$2*O17)*(100%+Q17)</f>
        <v>0</v>
      </c>
      <c r="O17" s="143">
        <f>(P17*(100%+R17))</f>
        <v>1.5435000000000001</v>
      </c>
      <c r="P17" s="318">
        <v>1.47</v>
      </c>
      <c r="Q17" s="126">
        <v>1.3</v>
      </c>
      <c r="R17" s="107">
        <v>0.05</v>
      </c>
      <c r="U17" s="19"/>
    </row>
    <row r="18" spans="1:21" s="45" customFormat="1" ht="12.45" customHeight="1" x14ac:dyDescent="0.35">
      <c r="B18" s="103">
        <v>9060020004</v>
      </c>
      <c r="C18" s="82"/>
      <c r="D18" s="82">
        <v>100</v>
      </c>
      <c r="E18" s="52"/>
      <c r="F18" s="52"/>
      <c r="G18" s="52"/>
      <c r="H18" s="52"/>
      <c r="I18" s="52"/>
      <c r="J18" s="52"/>
      <c r="K18" s="52"/>
      <c r="L18" s="52"/>
      <c r="M18" s="118"/>
      <c r="N18" s="141">
        <f>($U$2*O18)*(100%+Q18)</f>
        <v>0</v>
      </c>
      <c r="O18" s="143">
        <f>(P18*(100%+R18))</f>
        <v>1.5435000000000001</v>
      </c>
      <c r="P18" s="318">
        <v>1.47</v>
      </c>
      <c r="Q18" s="126">
        <v>1.3</v>
      </c>
      <c r="R18" s="107">
        <v>0.05</v>
      </c>
      <c r="S18" s="19"/>
      <c r="T18" s="19"/>
    </row>
    <row r="19" spans="1:21" ht="12.45" customHeight="1" x14ac:dyDescent="0.35">
      <c r="A19" s="117"/>
      <c r="B19" s="103">
        <v>9060020005</v>
      </c>
      <c r="C19" s="82"/>
      <c r="D19" s="82">
        <v>120</v>
      </c>
      <c r="E19" s="52"/>
      <c r="F19" s="52"/>
      <c r="G19" s="52"/>
      <c r="H19" s="52"/>
      <c r="I19" s="52"/>
      <c r="J19" s="52"/>
      <c r="K19" s="52"/>
      <c r="L19" s="52"/>
      <c r="M19" s="118"/>
      <c r="N19" s="141">
        <f>($U$2*O19)*(100%+Q19)</f>
        <v>0</v>
      </c>
      <c r="O19" s="143">
        <f>(P19*(100%+R19))</f>
        <v>1.7535000000000001</v>
      </c>
      <c r="P19" s="318">
        <v>1.67</v>
      </c>
      <c r="Q19" s="126">
        <v>1.3</v>
      </c>
      <c r="R19" s="107">
        <v>0.05</v>
      </c>
      <c r="S19" s="52"/>
      <c r="T19" s="53"/>
    </row>
    <row r="20" spans="1:21" s="45" customFormat="1" x14ac:dyDescent="0.35">
      <c r="A20" s="117"/>
      <c r="B20" s="82"/>
      <c r="C20" s="82"/>
      <c r="D20" s="82"/>
      <c r="E20" s="52"/>
      <c r="F20" s="52"/>
      <c r="G20" s="52"/>
      <c r="H20" s="52"/>
      <c r="I20" s="52"/>
      <c r="J20" s="52"/>
      <c r="K20" s="52"/>
      <c r="L20" s="52"/>
      <c r="M20" s="52"/>
      <c r="N20" s="147"/>
      <c r="O20" s="143"/>
      <c r="P20" s="135"/>
      <c r="Q20" s="126"/>
      <c r="R20" s="126"/>
      <c r="S20" s="52"/>
      <c r="T20" s="53"/>
      <c r="U20" s="19"/>
    </row>
    <row r="21" spans="1:21" s="45" customFormat="1" x14ac:dyDescent="0.35">
      <c r="B21" s="17"/>
      <c r="C21" s="18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24"/>
      <c r="O21" s="125"/>
      <c r="P21" s="19"/>
      <c r="Q21" s="126"/>
      <c r="R21" s="126"/>
      <c r="U21" s="19"/>
    </row>
    <row r="22" spans="1:21" s="45" customFormat="1" x14ac:dyDescent="0.35">
      <c r="A22" s="120"/>
      <c r="B22" s="17"/>
      <c r="C22" s="1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24"/>
      <c r="O22" s="125"/>
      <c r="P22" s="120"/>
      <c r="Q22" s="126"/>
      <c r="R22" s="126"/>
    </row>
    <row r="23" spans="1:21" s="45" customFormat="1" ht="12.45" customHeight="1" x14ac:dyDescent="0.35">
      <c r="A23" s="117"/>
      <c r="B23" s="17"/>
      <c r="C23" s="18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24"/>
      <c r="O23" s="125"/>
      <c r="P23" s="117"/>
      <c r="Q23" s="126"/>
      <c r="R23" s="126"/>
      <c r="S23" s="19"/>
      <c r="T23" s="19"/>
    </row>
    <row r="24" spans="1:21" ht="12.45" customHeight="1" x14ac:dyDescent="0.35"/>
    <row r="25" spans="1:21" ht="12.45" customHeight="1" x14ac:dyDescent="0.35"/>
    <row r="26" spans="1:21" x14ac:dyDescent="0.35">
      <c r="P26" s="45"/>
    </row>
    <row r="27" spans="1:21" ht="12.45" customHeight="1" x14ac:dyDescent="0.35">
      <c r="A27" s="45"/>
      <c r="P27" s="45"/>
    </row>
    <row r="28" spans="1:21" x14ac:dyDescent="0.35">
      <c r="A28" s="45"/>
      <c r="P28" s="45"/>
      <c r="S28" s="52"/>
      <c r="T28" s="53"/>
    </row>
    <row r="29" spans="1:21" s="45" customFormat="1" x14ac:dyDescent="0.35">
      <c r="B29" s="17"/>
      <c r="C29" s="18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24"/>
      <c r="O29" s="125"/>
      <c r="P29" s="19"/>
      <c r="Q29" s="126"/>
      <c r="R29" s="126"/>
      <c r="U29" s="19"/>
    </row>
    <row r="30" spans="1:21" s="45" customFormat="1" x14ac:dyDescent="0.35">
      <c r="A30" s="92"/>
      <c r="B30" s="17"/>
      <c r="C30" s="18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24"/>
      <c r="O30" s="125"/>
      <c r="P30" s="120"/>
      <c r="Q30" s="126"/>
      <c r="R30" s="126"/>
    </row>
    <row r="31" spans="1:21" s="45" customFormat="1" ht="12.45" customHeight="1" x14ac:dyDescent="0.35">
      <c r="A31" s="117"/>
      <c r="B31" s="17"/>
      <c r="C31" s="18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24"/>
      <c r="O31" s="125"/>
      <c r="P31" s="117"/>
      <c r="Q31" s="126"/>
      <c r="R31" s="126"/>
      <c r="S31" s="117"/>
      <c r="T31" s="117"/>
    </row>
    <row r="32" spans="1:21" s="117" customFormat="1" ht="12.45" customHeight="1" x14ac:dyDescent="0.35">
      <c r="B32" s="17"/>
      <c r="C32" s="18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24"/>
      <c r="O32" s="125"/>
      <c r="Q32" s="126"/>
      <c r="R32" s="126"/>
    </row>
    <row r="33" spans="1:21" s="117" customFormat="1" ht="12.45" customHeight="1" x14ac:dyDescent="0.35">
      <c r="B33" s="17"/>
      <c r="C33" s="18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24"/>
      <c r="O33" s="125"/>
      <c r="Q33" s="126"/>
      <c r="R33" s="126"/>
      <c r="S33" s="19"/>
      <c r="T33" s="19"/>
    </row>
    <row r="34" spans="1:21" x14ac:dyDescent="0.35">
      <c r="A34" s="120"/>
      <c r="P34" s="120"/>
    </row>
    <row r="35" spans="1:21" ht="12.45" customHeight="1" x14ac:dyDescent="0.35"/>
    <row r="36" spans="1:21" x14ac:dyDescent="0.35">
      <c r="S36" s="52"/>
      <c r="T36" s="53"/>
    </row>
    <row r="37" spans="1:21" s="45" customFormat="1" x14ac:dyDescent="0.35">
      <c r="A37" s="19"/>
      <c r="B37" s="17"/>
      <c r="C37" s="18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24"/>
      <c r="O37" s="125"/>
      <c r="P37" s="19"/>
      <c r="Q37" s="126"/>
      <c r="R37" s="126"/>
      <c r="U37" s="19"/>
    </row>
    <row r="38" spans="1:21" s="45" customFormat="1" x14ac:dyDescent="0.35">
      <c r="A38" s="19"/>
      <c r="B38" s="17"/>
      <c r="C38" s="18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24"/>
      <c r="O38" s="125"/>
      <c r="P38" s="19"/>
      <c r="Q38" s="126"/>
      <c r="R38" s="126"/>
    </row>
    <row r="39" spans="1:21" s="45" customFormat="1" ht="12.45" customHeight="1" x14ac:dyDescent="0.35">
      <c r="A39" s="19"/>
      <c r="B39" s="17"/>
      <c r="C39" s="18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24"/>
      <c r="O39" s="125"/>
      <c r="P39" s="19"/>
      <c r="Q39" s="126"/>
      <c r="R39" s="126"/>
      <c r="S39" s="117"/>
      <c r="T39" s="117"/>
    </row>
    <row r="40" spans="1:21" s="117" customFormat="1" ht="12.45" customHeight="1" x14ac:dyDescent="0.35">
      <c r="A40" s="19"/>
      <c r="B40" s="17"/>
      <c r="C40" s="18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24"/>
      <c r="O40" s="125"/>
      <c r="P40" s="19"/>
      <c r="Q40" s="126"/>
      <c r="R40" s="126"/>
    </row>
    <row r="41" spans="1:21" s="117" customFormat="1" ht="12.45" customHeight="1" x14ac:dyDescent="0.35">
      <c r="A41" s="19"/>
      <c r="B41" s="17"/>
      <c r="C41" s="18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24"/>
      <c r="O41" s="125"/>
      <c r="P41" s="19"/>
      <c r="Q41" s="126"/>
      <c r="R41" s="126"/>
    </row>
    <row r="42" spans="1:21" s="117" customFormat="1" x14ac:dyDescent="0.35">
      <c r="A42" s="19"/>
      <c r="B42" s="17"/>
      <c r="C42" s="18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24"/>
      <c r="O42" s="125"/>
      <c r="P42" s="19"/>
      <c r="Q42" s="126"/>
      <c r="R42" s="126"/>
      <c r="S42" s="19"/>
      <c r="T42" s="19"/>
    </row>
    <row r="43" spans="1:21" ht="12.45" customHeight="1" x14ac:dyDescent="0.35"/>
    <row r="44" spans="1:21" ht="12.45" customHeight="1" x14ac:dyDescent="0.35"/>
    <row r="46" spans="1:21" x14ac:dyDescent="0.35">
      <c r="S46" s="52"/>
      <c r="T46" s="53"/>
    </row>
    <row r="47" spans="1:21" s="45" customFormat="1" x14ac:dyDescent="0.35">
      <c r="A47" s="19"/>
      <c r="B47" s="17"/>
      <c r="C47" s="18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24"/>
      <c r="O47" s="125"/>
      <c r="P47" s="19"/>
      <c r="Q47" s="126"/>
      <c r="R47" s="126"/>
      <c r="U47" s="19"/>
    </row>
    <row r="48" spans="1:21" s="45" customFormat="1" x14ac:dyDescent="0.35">
      <c r="A48" s="19"/>
      <c r="B48" s="17"/>
      <c r="C48" s="18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24"/>
      <c r="O48" s="125"/>
      <c r="P48" s="19"/>
      <c r="Q48" s="126"/>
      <c r="R48" s="126"/>
    </row>
    <row r="49" spans="1:21" s="45" customFormat="1" x14ac:dyDescent="0.35">
      <c r="A49" s="19"/>
      <c r="B49" s="17"/>
      <c r="C49" s="18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24"/>
      <c r="O49" s="125"/>
      <c r="P49" s="19"/>
      <c r="Q49" s="126"/>
      <c r="R49" s="126"/>
      <c r="S49" s="117"/>
      <c r="T49" s="117"/>
    </row>
    <row r="50" spans="1:21" s="117" customFormat="1" ht="12.45" customHeight="1" x14ac:dyDescent="0.35">
      <c r="A50" s="19"/>
      <c r="B50" s="17"/>
      <c r="C50" s="18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24"/>
      <c r="O50" s="125"/>
      <c r="P50" s="19"/>
      <c r="Q50" s="126"/>
      <c r="R50" s="126"/>
      <c r="S50" s="19"/>
      <c r="T50" s="19"/>
    </row>
    <row r="51" spans="1:21" ht="12.45" customHeight="1" x14ac:dyDescent="0.35"/>
    <row r="53" spans="1:21" x14ac:dyDescent="0.35">
      <c r="S53" s="52"/>
      <c r="T53" s="53"/>
    </row>
    <row r="54" spans="1:21" s="45" customFormat="1" x14ac:dyDescent="0.35">
      <c r="A54" s="19"/>
      <c r="B54" s="17"/>
      <c r="C54" s="18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24"/>
      <c r="O54" s="125"/>
      <c r="P54" s="19"/>
      <c r="Q54" s="126"/>
      <c r="R54" s="126"/>
      <c r="U54" s="19"/>
    </row>
    <row r="55" spans="1:21" s="45" customFormat="1" x14ac:dyDescent="0.35">
      <c r="A55" s="19"/>
      <c r="B55" s="17"/>
      <c r="C55" s="18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24"/>
      <c r="O55" s="125"/>
      <c r="P55" s="19"/>
      <c r="Q55" s="126"/>
      <c r="R55" s="126"/>
      <c r="S55" s="19"/>
      <c r="T55" s="19"/>
    </row>
    <row r="56" spans="1:21" ht="12.45" customHeight="1" x14ac:dyDescent="0.35"/>
    <row r="57" spans="1:21" ht="12.45" customHeight="1" x14ac:dyDescent="0.35"/>
    <row r="58" spans="1:21" x14ac:dyDescent="0.35">
      <c r="S58" s="52"/>
      <c r="T58" s="53"/>
    </row>
    <row r="59" spans="1:21" s="45" customFormat="1" x14ac:dyDescent="0.35">
      <c r="A59" s="19"/>
      <c r="B59" s="17"/>
      <c r="C59" s="18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24"/>
      <c r="O59" s="125"/>
      <c r="P59" s="19"/>
      <c r="Q59" s="126"/>
      <c r="R59" s="126"/>
      <c r="U59" s="19"/>
    </row>
    <row r="60" spans="1:21" s="45" customFormat="1" x14ac:dyDescent="0.35">
      <c r="A60" s="19"/>
      <c r="B60" s="17"/>
      <c r="C60" s="18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24"/>
      <c r="O60" s="125"/>
      <c r="P60" s="19"/>
      <c r="Q60" s="126"/>
      <c r="R60" s="126"/>
    </row>
    <row r="61" spans="1:21" s="45" customFormat="1" ht="12.45" customHeight="1" x14ac:dyDescent="0.35">
      <c r="A61" s="19"/>
      <c r="B61" s="17"/>
      <c r="C61" s="18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24"/>
      <c r="O61" s="125"/>
      <c r="P61" s="19"/>
      <c r="Q61" s="126"/>
      <c r="R61" s="126"/>
      <c r="S61" s="120"/>
      <c r="T61" s="120"/>
    </row>
    <row r="62" spans="1:21" s="120" customFormat="1" ht="12.45" customHeight="1" x14ac:dyDescent="0.35">
      <c r="A62" s="19"/>
      <c r="B62" s="17"/>
      <c r="C62" s="18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24"/>
      <c r="O62" s="125"/>
      <c r="P62" s="19"/>
      <c r="Q62" s="126"/>
      <c r="R62" s="126"/>
      <c r="S62" s="117"/>
      <c r="T62" s="117"/>
    </row>
    <row r="63" spans="1:21" s="117" customFormat="1" ht="12.45" customHeight="1" x14ac:dyDescent="0.35">
      <c r="A63" s="19"/>
      <c r="B63" s="17"/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24"/>
      <c r="O63" s="125"/>
      <c r="P63" s="19"/>
      <c r="Q63" s="126"/>
      <c r="R63" s="126"/>
      <c r="S63" s="19"/>
      <c r="T63" s="19"/>
    </row>
    <row r="66" spans="1:21" x14ac:dyDescent="0.35">
      <c r="S66" s="52" t="s">
        <v>22</v>
      </c>
      <c r="T66" s="53">
        <f>W2</f>
        <v>0</v>
      </c>
    </row>
    <row r="67" spans="1:21" s="45" customFormat="1" x14ac:dyDescent="0.35">
      <c r="A67" s="19"/>
      <c r="B67" s="17"/>
      <c r="C67" s="18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24"/>
      <c r="O67" s="125"/>
      <c r="P67" s="19"/>
      <c r="Q67" s="126"/>
      <c r="R67" s="126"/>
      <c r="U67" s="19"/>
    </row>
    <row r="68" spans="1:21" s="45" customFormat="1" x14ac:dyDescent="0.35">
      <c r="A68" s="19"/>
      <c r="B68" s="17"/>
      <c r="C68" s="18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24"/>
      <c r="O68" s="125"/>
      <c r="P68" s="19"/>
      <c r="Q68" s="126"/>
      <c r="R68" s="126"/>
    </row>
    <row r="69" spans="1:21" s="45" customFormat="1" ht="12.45" customHeight="1" x14ac:dyDescent="0.35">
      <c r="A69" s="19"/>
      <c r="B69" s="17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24"/>
      <c r="O69" s="125"/>
      <c r="P69" s="19"/>
      <c r="Q69" s="126"/>
      <c r="R69" s="126"/>
      <c r="S69" s="92"/>
      <c r="T69" s="92"/>
    </row>
    <row r="70" spans="1:21" s="92" customFormat="1" ht="12.45" customHeight="1" x14ac:dyDescent="0.35">
      <c r="A70" s="19"/>
      <c r="B70" s="17"/>
      <c r="C70" s="18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24"/>
      <c r="O70" s="125"/>
      <c r="P70" s="19"/>
      <c r="Q70" s="126"/>
      <c r="R70" s="126"/>
      <c r="S70" s="117"/>
      <c r="T70" s="117"/>
    </row>
    <row r="71" spans="1:21" s="117" customFormat="1" ht="12.45" customHeight="1" x14ac:dyDescent="0.35">
      <c r="A71" s="19"/>
      <c r="B71" s="17"/>
      <c r="C71" s="18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24"/>
      <c r="O71" s="125"/>
      <c r="P71" s="19"/>
      <c r="Q71" s="126"/>
      <c r="R71" s="126"/>
    </row>
    <row r="72" spans="1:21" s="117" customFormat="1" ht="12.45" customHeight="1" x14ac:dyDescent="0.35">
      <c r="A72" s="19"/>
      <c r="B72" s="17"/>
      <c r="C72" s="18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24"/>
      <c r="O72" s="125"/>
      <c r="P72" s="19"/>
      <c r="Q72" s="126"/>
      <c r="R72" s="126"/>
    </row>
    <row r="73" spans="1:21" s="117" customFormat="1" ht="12.45" customHeight="1" x14ac:dyDescent="0.35">
      <c r="A73" s="19"/>
      <c r="B73" s="17"/>
      <c r="C73" s="18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24"/>
      <c r="O73" s="125"/>
      <c r="P73" s="19"/>
      <c r="Q73" s="126"/>
      <c r="R73" s="126"/>
      <c r="S73" s="120"/>
      <c r="T73" s="120"/>
    </row>
    <row r="74" spans="1:21" s="120" customFormat="1" ht="12.45" customHeight="1" x14ac:dyDescent="0.35">
      <c r="A74" s="19"/>
      <c r="B74" s="17"/>
      <c r="C74" s="18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24"/>
      <c r="O74" s="125"/>
      <c r="P74" s="19"/>
      <c r="Q74" s="126"/>
      <c r="R74" s="126"/>
      <c r="S74" s="19"/>
      <c r="T74" s="19"/>
    </row>
  </sheetData>
  <sheetProtection algorithmName="SHA-512" hashValue="ii9tqbpg8zWZ9SlC0oI1L+9P9FanP7RxDTzcBHPt4nAMrpHOqqPa2Nnbhxk4Q6nMQthEjX4HOEChYuJwp00CMA==" saltValue="p7N1kBkHowAnXtiAXoxb5Q==" spinCount="100000" sheet="1" objects="1" scenarios="1"/>
  <conditionalFormatting sqref="B8:O10">
    <cfRule type="expression" dxfId="226" priority="1">
      <formula>MOD(ROW(),2)=0</formula>
    </cfRule>
  </conditionalFormatting>
  <conditionalFormatting sqref="B16:O19">
    <cfRule type="expression" dxfId="225" priority="4">
      <formula>MOD(ROW(),2)=0</formula>
    </cfRule>
  </conditionalFormatting>
  <conditionalFormatting sqref="O2:O5 B6:O6 B7:C7 E7:O7">
    <cfRule type="expression" dxfId="224" priority="2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orientation="portrait" r:id="rId1"/>
  <headerFooter>
    <oddHeader>&amp;L&amp;G&amp;R&amp;"Century Gothic,Fett"&amp;16&amp;A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7" tint="0.39997558519241921"/>
  </sheetPr>
  <dimension ref="B1:W200"/>
  <sheetViews>
    <sheetView showGridLines="0" view="pageBreakPreview" zoomScaleNormal="100" zoomScaleSheetLayoutView="100" workbookViewId="0">
      <selection activeCell="N6" sqref="N6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0.75" style="18" customWidth="1"/>
    <col min="4" max="4" width="5.25" style="19" customWidth="1"/>
    <col min="5" max="5" width="7" style="19" customWidth="1"/>
    <col min="6" max="6" width="10.75" style="19" customWidth="1"/>
    <col min="7" max="9" width="4.75" style="19" customWidth="1"/>
    <col min="10" max="10" width="3.75" style="19" customWidth="1"/>
    <col min="11" max="11" width="4.25" style="19" customWidth="1"/>
    <col min="12" max="12" width="0.125" style="19" hidden="1" customWidth="1"/>
    <col min="13" max="13" width="0.75" style="19" customWidth="1"/>
    <col min="14" max="14" width="4.75" style="124" customWidth="1"/>
    <col min="15" max="15" width="5.75" style="117" hidden="1" customWidth="1" outlineLevel="1"/>
    <col min="16" max="16" width="5.75" style="174" hidden="1" customWidth="1" outlineLevel="1"/>
    <col min="17" max="17" width="5.75" style="175" hidden="1" customWidth="1" outlineLevel="1"/>
    <col min="18" max="18" width="6.25" style="126" hidden="1" customWidth="1" outlineLevel="1"/>
    <col min="19" max="19" width="13.125" style="19" hidden="1" customWidth="1" outlineLevel="1"/>
    <col min="20" max="20" width="11.25" style="19" hidden="1" customWidth="1" outlineLevel="1"/>
    <col min="21" max="21" width="2.25" style="19" hidden="1" customWidth="1" outlineLevel="1"/>
    <col min="22" max="22" width="21" style="19" hidden="1" customWidth="1" outlineLevel="1"/>
    <col min="23" max="23" width="11.25" style="19" collapsed="1"/>
    <col min="24" max="16384" width="11.25" style="19"/>
  </cols>
  <sheetData>
    <row r="1" spans="2:23" ht="6.45" customHeight="1" x14ac:dyDescent="0.35"/>
    <row r="2" spans="2:23" ht="6.45" customHeight="1" x14ac:dyDescent="0.35"/>
    <row r="3" spans="2:23" x14ac:dyDescent="0.35">
      <c r="B3" s="17" t="s">
        <v>672</v>
      </c>
      <c r="N3" s="124" t="s">
        <v>4</v>
      </c>
      <c r="O3" s="176"/>
      <c r="P3" s="177"/>
      <c r="Q3" s="21"/>
      <c r="R3" s="127"/>
      <c r="S3" s="22"/>
      <c r="T3" s="138"/>
      <c r="U3" s="19">
        <f>(1-T5)*(1+T6)</f>
        <v>0</v>
      </c>
      <c r="V3" s="22"/>
      <c r="W3" s="129"/>
    </row>
    <row r="4" spans="2:23" ht="18.45" thickBot="1" x14ac:dyDescent="0.4">
      <c r="S4" s="22"/>
      <c r="T4" s="138"/>
    </row>
    <row r="5" spans="2:23" s="1" customFormat="1" ht="28.75" thickBot="1" x14ac:dyDescent="0.85">
      <c r="B5" s="178" t="s">
        <v>27</v>
      </c>
      <c r="C5" s="179"/>
      <c r="D5" s="180" t="s">
        <v>86</v>
      </c>
      <c r="E5" s="181"/>
      <c r="F5" s="182" t="s">
        <v>137</v>
      </c>
      <c r="G5" s="182" t="s">
        <v>159</v>
      </c>
      <c r="H5" s="182"/>
      <c r="I5" s="182"/>
      <c r="J5" s="182"/>
      <c r="K5" s="182"/>
      <c r="L5" s="182"/>
      <c r="M5" s="183"/>
      <c r="N5" s="149" t="s">
        <v>85</v>
      </c>
      <c r="O5" s="184" t="s">
        <v>90</v>
      </c>
      <c r="P5" s="185" t="s">
        <v>30</v>
      </c>
      <c r="Q5" s="184" t="s">
        <v>161</v>
      </c>
      <c r="R5" s="186"/>
      <c r="S5" s="321" t="s">
        <v>30</v>
      </c>
      <c r="T5" s="322">
        <f>Inhaltsverzeichnis!K18</f>
        <v>1</v>
      </c>
    </row>
    <row r="6" spans="2:23" s="26" customFormat="1" ht="12.65" customHeight="1" thickBot="1" x14ac:dyDescent="0.4">
      <c r="B6" s="83">
        <v>9040010001</v>
      </c>
      <c r="D6" s="42" t="s">
        <v>1</v>
      </c>
      <c r="E6" s="42" t="s">
        <v>88</v>
      </c>
      <c r="F6" s="26" t="s">
        <v>129</v>
      </c>
      <c r="G6" s="39">
        <v>7016</v>
      </c>
      <c r="I6" s="39"/>
      <c r="L6" s="93"/>
      <c r="M6" s="93"/>
      <c r="N6" s="134">
        <f>($U$3*Q6)</f>
        <v>0</v>
      </c>
      <c r="O6" s="105">
        <f>Q6*(100%-P6)</f>
        <v>7.1820000000000004</v>
      </c>
      <c r="P6" s="324">
        <v>0.37</v>
      </c>
      <c r="Q6" s="318">
        <v>11.4</v>
      </c>
      <c r="R6" s="126"/>
      <c r="S6" s="310" t="s">
        <v>31</v>
      </c>
      <c r="T6" s="323">
        <v>0</v>
      </c>
    </row>
    <row r="7" spans="2:23" s="26" customFormat="1" ht="12.65" customHeight="1" x14ac:dyDescent="0.35">
      <c r="B7" s="83">
        <v>9040010003</v>
      </c>
      <c r="D7" s="42" t="s">
        <v>1</v>
      </c>
      <c r="E7" s="42" t="s">
        <v>88</v>
      </c>
      <c r="F7" s="26" t="s">
        <v>158</v>
      </c>
      <c r="G7" s="39" t="s">
        <v>160</v>
      </c>
      <c r="L7" s="93"/>
      <c r="M7" s="93"/>
      <c r="N7" s="134">
        <f>($U$3*Q7)</f>
        <v>0</v>
      </c>
      <c r="O7" s="105">
        <f>Q7*(100%-P7)</f>
        <v>7.1820000000000004</v>
      </c>
      <c r="P7" s="324">
        <v>0.37</v>
      </c>
      <c r="Q7" s="105">
        <f>Q6</f>
        <v>11.4</v>
      </c>
      <c r="R7" s="126"/>
      <c r="S7" s="22"/>
      <c r="T7" s="138"/>
    </row>
    <row r="8" spans="2:23" s="26" customFormat="1" ht="12.65" customHeight="1" x14ac:dyDescent="0.35">
      <c r="B8" s="103">
        <v>9040010002</v>
      </c>
      <c r="C8" s="52"/>
      <c r="D8" s="139" t="s">
        <v>1</v>
      </c>
      <c r="E8" s="139" t="s">
        <v>88</v>
      </c>
      <c r="F8" s="52" t="s">
        <v>272</v>
      </c>
      <c r="G8" s="82"/>
      <c r="H8" s="52"/>
      <c r="I8" s="52"/>
      <c r="J8" s="52"/>
      <c r="K8" s="52"/>
      <c r="L8" s="106"/>
      <c r="M8" s="106"/>
      <c r="N8" s="141">
        <f>($U$3*Q8)</f>
        <v>0</v>
      </c>
      <c r="O8" s="105">
        <f>Q8*(100%-P8)</f>
        <v>7.1820000000000004</v>
      </c>
      <c r="P8" s="324">
        <v>0.37</v>
      </c>
      <c r="Q8" s="105">
        <f>Q6</f>
        <v>11.4</v>
      </c>
      <c r="R8" s="126"/>
      <c r="S8" s="22"/>
      <c r="T8" s="138"/>
    </row>
    <row r="9" spans="2:23" s="26" customFormat="1" ht="6.45" customHeight="1" x14ac:dyDescent="0.35">
      <c r="B9" s="39"/>
      <c r="D9" s="89"/>
      <c r="E9" s="89"/>
      <c r="F9" s="88"/>
      <c r="G9" s="100"/>
      <c r="H9" s="88"/>
      <c r="I9" s="88"/>
      <c r="J9" s="88"/>
      <c r="K9" s="88"/>
      <c r="L9" s="111"/>
      <c r="M9" s="111"/>
      <c r="N9" s="187"/>
      <c r="O9" s="105"/>
      <c r="P9" s="94"/>
      <c r="Q9" s="135"/>
      <c r="R9" s="126"/>
      <c r="S9" s="22"/>
      <c r="T9" s="138"/>
    </row>
    <row r="10" spans="2:23" s="45" customFormat="1" ht="6.45" customHeight="1" x14ac:dyDescent="0.35">
      <c r="B10" s="57"/>
      <c r="C10" s="18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24"/>
      <c r="O10" s="52"/>
      <c r="P10" s="188"/>
      <c r="Q10" s="189"/>
      <c r="R10" s="126"/>
    </row>
    <row r="11" spans="2:23" x14ac:dyDescent="0.35">
      <c r="B11" s="17" t="s">
        <v>673</v>
      </c>
      <c r="N11" s="124" t="s">
        <v>128</v>
      </c>
    </row>
    <row r="13" spans="2:23" x14ac:dyDescent="0.35">
      <c r="B13" s="26" t="s">
        <v>27</v>
      </c>
      <c r="C13" s="45"/>
      <c r="D13" s="39" t="s">
        <v>86</v>
      </c>
      <c r="E13" s="28"/>
      <c r="F13" s="27" t="s">
        <v>137</v>
      </c>
      <c r="G13" s="27"/>
      <c r="H13" s="27"/>
      <c r="I13" s="27"/>
      <c r="J13" s="27"/>
      <c r="K13" s="27"/>
      <c r="L13" s="27"/>
      <c r="M13" s="23"/>
      <c r="N13" s="131" t="s">
        <v>85</v>
      </c>
      <c r="O13" s="139" t="s">
        <v>90</v>
      </c>
      <c r="P13" s="43" t="s">
        <v>30</v>
      </c>
      <c r="Q13" s="139" t="s">
        <v>161</v>
      </c>
      <c r="R13" s="108"/>
    </row>
    <row r="14" spans="2:23" s="117" customFormat="1" ht="12.65" customHeight="1" x14ac:dyDescent="0.35">
      <c r="B14" s="103">
        <v>9040050004</v>
      </c>
      <c r="C14" s="52"/>
      <c r="D14" s="82">
        <v>80</v>
      </c>
      <c r="E14" s="139"/>
      <c r="F14" s="52" t="s">
        <v>129</v>
      </c>
      <c r="G14" s="52"/>
      <c r="H14" s="52"/>
      <c r="I14" s="52"/>
      <c r="J14" s="52"/>
      <c r="K14" s="52"/>
      <c r="L14" s="106"/>
      <c r="M14" s="106"/>
      <c r="N14" s="141">
        <f t="shared" ref="N14:N19" si="0">($U$3*Q14)</f>
        <v>0</v>
      </c>
      <c r="O14" s="105">
        <f t="shared" ref="O14:O19" si="1">Q14*(100%-P14)</f>
        <v>8.1081000000000003</v>
      </c>
      <c r="P14" s="324">
        <v>0.37</v>
      </c>
      <c r="Q14" s="318">
        <v>12.87</v>
      </c>
      <c r="R14" s="126"/>
    </row>
    <row r="15" spans="2:23" s="117" customFormat="1" ht="12.65" customHeight="1" x14ac:dyDescent="0.35">
      <c r="B15" s="103">
        <v>9040050003</v>
      </c>
      <c r="C15" s="52"/>
      <c r="D15" s="82">
        <v>80</v>
      </c>
      <c r="E15" s="139"/>
      <c r="F15" s="52" t="s">
        <v>158</v>
      </c>
      <c r="G15" s="52"/>
      <c r="H15" s="52"/>
      <c r="I15" s="52"/>
      <c r="J15" s="52"/>
      <c r="K15" s="52"/>
      <c r="L15" s="106"/>
      <c r="M15" s="106"/>
      <c r="N15" s="141">
        <f t="shared" si="0"/>
        <v>0</v>
      </c>
      <c r="O15" s="105">
        <f t="shared" si="1"/>
        <v>8.1081000000000003</v>
      </c>
      <c r="P15" s="324">
        <v>0.37</v>
      </c>
      <c r="Q15" s="105">
        <f>Q14</f>
        <v>12.87</v>
      </c>
      <c r="R15" s="126"/>
    </row>
    <row r="16" spans="2:23" s="117" customFormat="1" ht="12.65" customHeight="1" x14ac:dyDescent="0.35">
      <c r="B16" s="103">
        <v>9040050002</v>
      </c>
      <c r="C16" s="52"/>
      <c r="D16" s="82">
        <v>80</v>
      </c>
      <c r="E16" s="139"/>
      <c r="F16" s="52" t="s">
        <v>272</v>
      </c>
      <c r="G16" s="52"/>
      <c r="H16" s="52"/>
      <c r="I16" s="52"/>
      <c r="J16" s="52"/>
      <c r="K16" s="52"/>
      <c r="L16" s="106"/>
      <c r="M16" s="106"/>
      <c r="N16" s="141">
        <f t="shared" si="0"/>
        <v>0</v>
      </c>
      <c r="O16" s="105">
        <f t="shared" si="1"/>
        <v>8.1081000000000003</v>
      </c>
      <c r="P16" s="324">
        <v>0.37</v>
      </c>
      <c r="Q16" s="105">
        <f>Q14</f>
        <v>12.87</v>
      </c>
      <c r="R16" s="126"/>
    </row>
    <row r="17" spans="2:18" ht="12.65" customHeight="1" x14ac:dyDescent="0.35">
      <c r="B17" s="103">
        <v>9040050001</v>
      </c>
      <c r="C17" s="52"/>
      <c r="D17" s="82">
        <v>100</v>
      </c>
      <c r="E17" s="139"/>
      <c r="F17" s="52" t="s">
        <v>129</v>
      </c>
      <c r="G17" s="52"/>
      <c r="H17" s="52"/>
      <c r="I17" s="52"/>
      <c r="J17" s="52"/>
      <c r="K17" s="52"/>
      <c r="L17" s="106"/>
      <c r="M17" s="106"/>
      <c r="N17" s="141">
        <f t="shared" si="0"/>
        <v>0</v>
      </c>
      <c r="O17" s="105">
        <f t="shared" si="1"/>
        <v>8.2592999999999996</v>
      </c>
      <c r="P17" s="324">
        <v>0.37</v>
      </c>
      <c r="Q17" s="318">
        <v>13.11</v>
      </c>
    </row>
    <row r="18" spans="2:18" ht="12.65" customHeight="1" x14ac:dyDescent="0.35">
      <c r="B18" s="103">
        <v>9040050003</v>
      </c>
      <c r="C18" s="52"/>
      <c r="D18" s="82">
        <v>100</v>
      </c>
      <c r="E18" s="139"/>
      <c r="F18" s="52" t="s">
        <v>158</v>
      </c>
      <c r="G18" s="52"/>
      <c r="H18" s="52"/>
      <c r="I18" s="52"/>
      <c r="J18" s="52"/>
      <c r="K18" s="52"/>
      <c r="L18" s="106"/>
      <c r="M18" s="106"/>
      <c r="N18" s="141">
        <f t="shared" si="0"/>
        <v>0</v>
      </c>
      <c r="O18" s="105">
        <f t="shared" si="1"/>
        <v>8.2592999999999996</v>
      </c>
      <c r="P18" s="324">
        <v>0.37</v>
      </c>
      <c r="Q18" s="105">
        <f>Q17</f>
        <v>13.11</v>
      </c>
    </row>
    <row r="19" spans="2:18" ht="12.65" customHeight="1" x14ac:dyDescent="0.35">
      <c r="B19" s="103">
        <v>9040050002</v>
      </c>
      <c r="C19" s="52"/>
      <c r="D19" s="82">
        <v>100</v>
      </c>
      <c r="E19" s="139"/>
      <c r="F19" s="52" t="s">
        <v>272</v>
      </c>
      <c r="G19" s="52"/>
      <c r="H19" s="52"/>
      <c r="I19" s="52"/>
      <c r="J19" s="52"/>
      <c r="K19" s="52"/>
      <c r="L19" s="106"/>
      <c r="M19" s="106"/>
      <c r="N19" s="141">
        <f t="shared" si="0"/>
        <v>0</v>
      </c>
      <c r="O19" s="105">
        <f t="shared" si="1"/>
        <v>8.2592999999999996</v>
      </c>
      <c r="P19" s="324">
        <v>0.37</v>
      </c>
      <c r="Q19" s="105">
        <f>Q17</f>
        <v>13.11</v>
      </c>
    </row>
    <row r="21" spans="2:18" x14ac:dyDescent="0.35">
      <c r="B21" s="17" t="s">
        <v>674</v>
      </c>
    </row>
    <row r="22" spans="2:18" x14ac:dyDescent="0.35">
      <c r="N22" s="144"/>
    </row>
    <row r="23" spans="2:18" x14ac:dyDescent="0.35">
      <c r="B23" s="26" t="s">
        <v>27</v>
      </c>
      <c r="C23" s="45"/>
      <c r="D23" s="39" t="s">
        <v>86</v>
      </c>
      <c r="E23" s="28" t="s">
        <v>164</v>
      </c>
      <c r="F23" s="27" t="s">
        <v>137</v>
      </c>
      <c r="G23" s="27"/>
      <c r="H23" s="27"/>
      <c r="I23" s="27"/>
      <c r="J23" s="27"/>
      <c r="K23" s="27"/>
      <c r="L23" s="27"/>
      <c r="M23" s="23"/>
      <c r="N23" s="131" t="s">
        <v>77</v>
      </c>
      <c r="O23" s="139" t="s">
        <v>90</v>
      </c>
      <c r="P23" s="43" t="s">
        <v>30</v>
      </c>
      <c r="Q23" s="139" t="s">
        <v>161</v>
      </c>
      <c r="R23" s="43"/>
    </row>
    <row r="24" spans="2:18" s="117" customFormat="1" ht="12.65" customHeight="1" x14ac:dyDescent="0.35">
      <c r="B24" s="103">
        <v>9040020016</v>
      </c>
      <c r="C24" s="82"/>
      <c r="D24" s="52" t="s">
        <v>162</v>
      </c>
      <c r="E24" s="139" t="s">
        <v>120</v>
      </c>
      <c r="F24" s="52" t="s">
        <v>129</v>
      </c>
      <c r="G24" s="52"/>
      <c r="H24" s="52"/>
      <c r="I24" s="52"/>
      <c r="J24" s="52"/>
      <c r="K24" s="52"/>
      <c r="L24" s="106"/>
      <c r="M24" s="106"/>
      <c r="N24" s="141">
        <f>($U$3*Q24)</f>
        <v>0</v>
      </c>
      <c r="O24" s="105">
        <f>Q24*(100%-P24)</f>
        <v>3.5910000000000002</v>
      </c>
      <c r="P24" s="324">
        <v>0.37</v>
      </c>
      <c r="Q24" s="318">
        <v>5.7</v>
      </c>
      <c r="R24" s="126"/>
    </row>
    <row r="25" spans="2:18" s="117" customFormat="1" ht="12.65" customHeight="1" x14ac:dyDescent="0.35">
      <c r="B25" s="103">
        <v>9040020019</v>
      </c>
      <c r="C25" s="82"/>
      <c r="D25" s="52" t="s">
        <v>162</v>
      </c>
      <c r="E25" s="139" t="s">
        <v>120</v>
      </c>
      <c r="F25" s="52" t="s">
        <v>158</v>
      </c>
      <c r="G25" s="52"/>
      <c r="H25" s="52"/>
      <c r="I25" s="52"/>
      <c r="J25" s="52"/>
      <c r="K25" s="52"/>
      <c r="L25" s="106"/>
      <c r="M25" s="106"/>
      <c r="N25" s="141">
        <f>($U$3*Q25)</f>
        <v>0</v>
      </c>
      <c r="O25" s="105">
        <f>Q25*(100%-P25)</f>
        <v>3.5910000000000002</v>
      </c>
      <c r="P25" s="324">
        <v>0.37</v>
      </c>
      <c r="Q25" s="105">
        <f>Q24</f>
        <v>5.7</v>
      </c>
      <c r="R25" s="126"/>
    </row>
    <row r="26" spans="2:18" s="117" customFormat="1" ht="12.65" customHeight="1" x14ac:dyDescent="0.35">
      <c r="B26" s="103">
        <v>9040020018</v>
      </c>
      <c r="C26" s="82"/>
      <c r="D26" s="52" t="s">
        <v>162</v>
      </c>
      <c r="E26" s="139" t="s">
        <v>120</v>
      </c>
      <c r="F26" s="52" t="s">
        <v>272</v>
      </c>
      <c r="G26" s="52"/>
      <c r="H26" s="52"/>
      <c r="I26" s="52"/>
      <c r="J26" s="52"/>
      <c r="K26" s="52"/>
      <c r="L26" s="106"/>
      <c r="M26" s="106"/>
      <c r="N26" s="141">
        <f>($U$3*Q26)</f>
        <v>0</v>
      </c>
      <c r="O26" s="105">
        <f>Q26*(100%-P26)</f>
        <v>3.5910000000000002</v>
      </c>
      <c r="P26" s="324">
        <v>0.37</v>
      </c>
      <c r="Q26" s="105">
        <f>Q24</f>
        <v>5.7</v>
      </c>
      <c r="R26" s="126"/>
    </row>
    <row r="27" spans="2:18" s="117" customFormat="1" ht="12.45" customHeight="1" x14ac:dyDescent="0.35">
      <c r="B27" s="82"/>
      <c r="C27" s="82"/>
      <c r="D27" s="52"/>
      <c r="E27" s="139"/>
      <c r="F27" s="52"/>
      <c r="G27" s="52"/>
      <c r="H27" s="52"/>
      <c r="I27" s="52"/>
      <c r="J27" s="52"/>
      <c r="K27" s="52"/>
      <c r="L27" s="106"/>
      <c r="M27" s="106"/>
      <c r="N27" s="147"/>
      <c r="O27" s="105"/>
      <c r="P27" s="94"/>
      <c r="Q27" s="135"/>
      <c r="R27" s="126"/>
    </row>
    <row r="28" spans="2:18" s="117" customFormat="1" ht="12.45" customHeight="1" x14ac:dyDescent="0.35">
      <c r="B28" s="82"/>
      <c r="C28" s="52"/>
      <c r="D28" s="139"/>
      <c r="E28" s="52"/>
      <c r="F28" s="52"/>
      <c r="G28" s="52"/>
      <c r="H28" s="52"/>
      <c r="I28" s="52"/>
      <c r="J28" s="52"/>
      <c r="K28" s="52"/>
      <c r="L28" s="106"/>
      <c r="M28" s="106"/>
      <c r="N28" s="147"/>
      <c r="O28" s="105"/>
      <c r="P28" s="94"/>
      <c r="Q28" s="135"/>
      <c r="R28" s="126"/>
    </row>
    <row r="29" spans="2:18" x14ac:dyDescent="0.35">
      <c r="B29" s="17" t="s">
        <v>675</v>
      </c>
    </row>
    <row r="30" spans="2:18" x14ac:dyDescent="0.35">
      <c r="N30" s="144"/>
    </row>
    <row r="31" spans="2:18" x14ac:dyDescent="0.35">
      <c r="B31" s="26" t="s">
        <v>27</v>
      </c>
      <c r="C31" s="45"/>
      <c r="D31" s="39" t="s">
        <v>86</v>
      </c>
      <c r="E31" s="28" t="s">
        <v>165</v>
      </c>
      <c r="F31" s="27" t="s">
        <v>137</v>
      </c>
      <c r="G31" s="27"/>
      <c r="H31" s="27"/>
      <c r="I31" s="27"/>
      <c r="J31" s="27"/>
      <c r="K31" s="27"/>
      <c r="L31" s="27"/>
      <c r="M31" s="23"/>
      <c r="N31" s="131" t="s">
        <v>77</v>
      </c>
      <c r="O31" s="139" t="s">
        <v>90</v>
      </c>
      <c r="P31" s="43" t="s">
        <v>30</v>
      </c>
      <c r="Q31" s="139" t="s">
        <v>161</v>
      </c>
      <c r="R31" s="43"/>
    </row>
    <row r="32" spans="2:18" s="117" customFormat="1" ht="12.65" customHeight="1" x14ac:dyDescent="0.35">
      <c r="B32" s="103">
        <v>9040020017</v>
      </c>
      <c r="C32" s="82"/>
      <c r="D32" s="52" t="s">
        <v>163</v>
      </c>
      <c r="E32" s="139" t="s">
        <v>166</v>
      </c>
      <c r="F32" s="52" t="s">
        <v>129</v>
      </c>
      <c r="G32" s="52"/>
      <c r="H32" s="52"/>
      <c r="I32" s="52"/>
      <c r="J32" s="52"/>
      <c r="K32" s="52"/>
      <c r="L32" s="106"/>
      <c r="M32" s="106"/>
      <c r="N32" s="141">
        <f>($U$3*Q32)</f>
        <v>0</v>
      </c>
      <c r="O32" s="105">
        <f>Q32*(100%-P32)</f>
        <v>4.5045000000000002</v>
      </c>
      <c r="P32" s="324">
        <v>0.37</v>
      </c>
      <c r="Q32" s="318">
        <v>7.15</v>
      </c>
      <c r="R32" s="126"/>
    </row>
    <row r="34" spans="2:20" s="117" customFormat="1" ht="12.45" customHeight="1" x14ac:dyDescent="0.35">
      <c r="B34" s="82"/>
      <c r="C34" s="52"/>
      <c r="D34" s="139"/>
      <c r="E34" s="52"/>
      <c r="F34" s="52"/>
      <c r="G34" s="52"/>
      <c r="H34" s="52"/>
      <c r="I34" s="52"/>
      <c r="J34" s="52"/>
      <c r="K34" s="52"/>
      <c r="L34" s="106"/>
      <c r="M34" s="106"/>
      <c r="N34" s="147"/>
      <c r="O34" s="101"/>
      <c r="P34" s="94"/>
      <c r="Q34" s="137"/>
      <c r="R34" s="126"/>
    </row>
    <row r="35" spans="2:20" s="45" customFormat="1" x14ac:dyDescent="0.35">
      <c r="B35" s="17" t="s">
        <v>676</v>
      </c>
      <c r="C35" s="18"/>
      <c r="D35" s="19"/>
      <c r="E35" s="19"/>
      <c r="F35" s="19"/>
      <c r="G35" s="19"/>
      <c r="H35" s="19"/>
      <c r="I35" s="19"/>
      <c r="J35" s="19"/>
      <c r="K35" s="19"/>
      <c r="L35" s="20"/>
      <c r="M35" s="19"/>
      <c r="N35" s="124"/>
      <c r="O35" s="52"/>
      <c r="P35" s="188"/>
      <c r="Q35" s="189"/>
      <c r="R35" s="126"/>
    </row>
    <row r="36" spans="2:20" s="92" customFormat="1" x14ac:dyDescent="0.35">
      <c r="B36" s="17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44"/>
      <c r="O36" s="52"/>
      <c r="P36" s="190"/>
      <c r="Q36" s="189"/>
      <c r="R36" s="126"/>
    </row>
    <row r="37" spans="2:20" s="45" customFormat="1" ht="19.399999999999999" customHeight="1" x14ac:dyDescent="0.35">
      <c r="B37" s="26" t="s">
        <v>27</v>
      </c>
      <c r="D37" s="26" t="s">
        <v>86</v>
      </c>
      <c r="E37" s="27"/>
      <c r="F37" s="39" t="s">
        <v>137</v>
      </c>
      <c r="G37" s="39"/>
      <c r="H37" s="74"/>
      <c r="I37" s="74"/>
      <c r="J37" s="74"/>
      <c r="K37" s="74"/>
      <c r="L37" s="74"/>
      <c r="M37" s="74"/>
      <c r="N37" s="131" t="s">
        <v>77</v>
      </c>
      <c r="O37" s="139" t="s">
        <v>90</v>
      </c>
      <c r="P37" s="43" t="s">
        <v>30</v>
      </c>
      <c r="Q37" s="139" t="s">
        <v>161</v>
      </c>
      <c r="R37" s="108"/>
      <c r="S37" s="19"/>
      <c r="T37" s="19"/>
    </row>
    <row r="38" spans="2:20" s="45" customFormat="1" ht="12.65" customHeight="1" x14ac:dyDescent="0.35">
      <c r="B38" s="83">
        <v>9040020004</v>
      </c>
      <c r="C38" s="39"/>
      <c r="D38" s="39" t="s">
        <v>168</v>
      </c>
      <c r="E38" s="26"/>
      <c r="F38" s="52" t="s">
        <v>129</v>
      </c>
      <c r="G38" s="26"/>
      <c r="H38" s="26"/>
      <c r="I38" s="26"/>
      <c r="J38" s="26"/>
      <c r="K38" s="26"/>
      <c r="L38" s="26"/>
      <c r="M38" s="59"/>
      <c r="N38" s="141">
        <f>($U$3*Q38)</f>
        <v>0</v>
      </c>
      <c r="O38" s="105">
        <f>Q38*(100%-P38)</f>
        <v>17.419499999999999</v>
      </c>
      <c r="P38" s="324">
        <v>0.37</v>
      </c>
      <c r="Q38" s="318">
        <v>27.65</v>
      </c>
      <c r="R38" s="107"/>
      <c r="S38" s="21"/>
      <c r="T38" s="148"/>
    </row>
    <row r="39" spans="2:20" s="45" customFormat="1" ht="12.65" customHeight="1" x14ac:dyDescent="0.35">
      <c r="B39" s="83">
        <v>9040020006</v>
      </c>
      <c r="C39" s="39"/>
      <c r="D39" s="39" t="s">
        <v>168</v>
      </c>
      <c r="E39" s="26"/>
      <c r="F39" s="52" t="s">
        <v>158</v>
      </c>
      <c r="G39" s="26"/>
      <c r="H39" s="26"/>
      <c r="I39" s="26"/>
      <c r="J39" s="26"/>
      <c r="K39" s="26"/>
      <c r="L39" s="26"/>
      <c r="M39" s="59"/>
      <c r="N39" s="141">
        <f>($U$3*Q39)</f>
        <v>0</v>
      </c>
      <c r="O39" s="105">
        <f>Q39*(100%-P39)</f>
        <v>17.419499999999999</v>
      </c>
      <c r="P39" s="324">
        <v>0.37</v>
      </c>
      <c r="Q39" s="105">
        <f>Q38</f>
        <v>27.65</v>
      </c>
      <c r="R39" s="107"/>
      <c r="S39" s="21"/>
      <c r="T39" s="148"/>
    </row>
    <row r="40" spans="2:20" s="45" customFormat="1" ht="12.65" customHeight="1" x14ac:dyDescent="0.35">
      <c r="B40" s="83">
        <v>9040020005</v>
      </c>
      <c r="C40" s="39"/>
      <c r="D40" s="82" t="s">
        <v>168</v>
      </c>
      <c r="E40" s="52"/>
      <c r="F40" s="52" t="s">
        <v>272</v>
      </c>
      <c r="G40" s="52"/>
      <c r="H40" s="52"/>
      <c r="I40" s="52"/>
      <c r="J40" s="52"/>
      <c r="K40" s="52"/>
      <c r="L40" s="52"/>
      <c r="M40" s="118"/>
      <c r="N40" s="141">
        <f>($U$3*Q40)</f>
        <v>0</v>
      </c>
      <c r="O40" s="105">
        <f>Q40*(100%-P40)</f>
        <v>17.419499999999999</v>
      </c>
      <c r="P40" s="324">
        <v>0.37</v>
      </c>
      <c r="Q40" s="105">
        <f>Q38</f>
        <v>27.65</v>
      </c>
      <c r="R40" s="107"/>
      <c r="S40" s="21"/>
      <c r="T40" s="148"/>
    </row>
    <row r="41" spans="2:20" s="45" customFormat="1" ht="12.65" customHeight="1" x14ac:dyDescent="0.35">
      <c r="B41" s="83"/>
      <c r="C41" s="39"/>
      <c r="D41" s="39"/>
      <c r="E41" s="26"/>
      <c r="F41" s="26"/>
      <c r="G41" s="26"/>
      <c r="H41" s="26"/>
      <c r="I41" s="26"/>
      <c r="J41" s="26"/>
      <c r="K41" s="26"/>
      <c r="L41" s="26"/>
      <c r="M41" s="26"/>
      <c r="N41" s="141"/>
      <c r="O41" s="105"/>
      <c r="P41" s="324"/>
      <c r="Q41" s="135"/>
      <c r="R41" s="107"/>
    </row>
    <row r="42" spans="2:20" s="45" customFormat="1" ht="12.65" customHeight="1" x14ac:dyDescent="0.35">
      <c r="B42" s="83">
        <v>9040020001</v>
      </c>
      <c r="C42" s="39"/>
      <c r="D42" s="39" t="s">
        <v>169</v>
      </c>
      <c r="E42" s="26"/>
      <c r="F42" s="52" t="s">
        <v>129</v>
      </c>
      <c r="G42" s="26"/>
      <c r="H42" s="26"/>
      <c r="I42" s="26"/>
      <c r="J42" s="26"/>
      <c r="K42" s="26"/>
      <c r="L42" s="26"/>
      <c r="M42" s="59"/>
      <c r="N42" s="141">
        <f>($U$3*Q42)</f>
        <v>0</v>
      </c>
      <c r="O42" s="105">
        <f>Q42*(100%-P42)</f>
        <v>17.419499999999999</v>
      </c>
      <c r="P42" s="324">
        <v>0.37</v>
      </c>
      <c r="Q42" s="318">
        <v>27.65</v>
      </c>
      <c r="R42" s="107"/>
    </row>
    <row r="43" spans="2:20" s="45" customFormat="1" ht="12.65" customHeight="1" x14ac:dyDescent="0.35">
      <c r="B43" s="83">
        <v>9040020003</v>
      </c>
      <c r="C43" s="39"/>
      <c r="D43" s="39" t="s">
        <v>169</v>
      </c>
      <c r="E43" s="26"/>
      <c r="F43" s="52" t="s">
        <v>158</v>
      </c>
      <c r="G43" s="26"/>
      <c r="H43" s="26"/>
      <c r="I43" s="26"/>
      <c r="J43" s="26"/>
      <c r="K43" s="26"/>
      <c r="L43" s="26"/>
      <c r="M43" s="59"/>
      <c r="N43" s="141">
        <f>($U$3*Q43)</f>
        <v>0</v>
      </c>
      <c r="O43" s="105">
        <f>Q43*(100%-P43)</f>
        <v>17.419499999999999</v>
      </c>
      <c r="P43" s="324">
        <v>0.37</v>
      </c>
      <c r="Q43" s="105">
        <f>Q42</f>
        <v>27.65</v>
      </c>
      <c r="R43" s="107"/>
    </row>
    <row r="44" spans="2:20" s="45" customFormat="1" ht="12.65" customHeight="1" x14ac:dyDescent="0.35">
      <c r="B44" s="83">
        <v>9040020002</v>
      </c>
      <c r="C44" s="39"/>
      <c r="D44" s="82" t="s">
        <v>169</v>
      </c>
      <c r="E44" s="52"/>
      <c r="F44" s="52" t="s">
        <v>272</v>
      </c>
      <c r="G44" s="52"/>
      <c r="H44" s="52"/>
      <c r="I44" s="52"/>
      <c r="J44" s="52"/>
      <c r="K44" s="52"/>
      <c r="L44" s="52"/>
      <c r="M44" s="118"/>
      <c r="N44" s="141">
        <f>($U$3*Q44)</f>
        <v>0</v>
      </c>
      <c r="O44" s="105">
        <f>Q44*(100%-P44)</f>
        <v>17.419499999999999</v>
      </c>
      <c r="P44" s="324">
        <v>0.37</v>
      </c>
      <c r="Q44" s="105">
        <f>Q42</f>
        <v>27.65</v>
      </c>
      <c r="R44" s="107"/>
    </row>
    <row r="45" spans="2:20" s="45" customFormat="1" ht="11.6" x14ac:dyDescent="0.35">
      <c r="B45" s="39"/>
      <c r="C45" s="39"/>
      <c r="D45" s="39"/>
      <c r="E45" s="26"/>
      <c r="F45" s="52"/>
      <c r="G45" s="26"/>
      <c r="H45" s="26"/>
      <c r="I45" s="26"/>
      <c r="J45" s="26"/>
      <c r="K45" s="26"/>
      <c r="L45" s="26"/>
      <c r="M45" s="26"/>
      <c r="N45" s="147"/>
      <c r="O45" s="105"/>
      <c r="P45" s="94"/>
      <c r="Q45" s="135"/>
      <c r="R45" s="107"/>
    </row>
    <row r="46" spans="2:20" s="45" customFormat="1" ht="11.6" x14ac:dyDescent="0.35">
      <c r="B46" s="39"/>
      <c r="C46" s="39"/>
      <c r="D46" s="39"/>
      <c r="E46" s="26"/>
      <c r="F46" s="52"/>
      <c r="G46" s="26"/>
      <c r="H46" s="26"/>
      <c r="I46" s="26"/>
      <c r="J46" s="26"/>
      <c r="K46" s="26"/>
      <c r="L46" s="26"/>
      <c r="M46" s="26"/>
      <c r="N46" s="147"/>
      <c r="O46" s="105"/>
      <c r="P46" s="94"/>
      <c r="Q46" s="135"/>
      <c r="R46" s="107"/>
    </row>
    <row r="47" spans="2:20" s="45" customFormat="1" ht="11.6" x14ac:dyDescent="0.35">
      <c r="B47" s="39"/>
      <c r="C47" s="39"/>
      <c r="D47" s="39"/>
      <c r="E47" s="26"/>
      <c r="F47" s="52"/>
      <c r="G47" s="26"/>
      <c r="H47" s="26"/>
      <c r="I47" s="26"/>
      <c r="J47" s="26"/>
      <c r="K47" s="26"/>
      <c r="L47" s="26"/>
      <c r="M47" s="26"/>
      <c r="N47" s="147"/>
      <c r="O47" s="105"/>
      <c r="P47" s="94"/>
      <c r="Q47" s="135"/>
      <c r="R47" s="107"/>
    </row>
    <row r="48" spans="2:20" s="45" customFormat="1" ht="11.6" x14ac:dyDescent="0.35">
      <c r="B48" s="39"/>
      <c r="C48" s="39"/>
      <c r="D48" s="39"/>
      <c r="E48" s="26"/>
      <c r="F48" s="52"/>
      <c r="G48" s="26"/>
      <c r="H48" s="26"/>
      <c r="I48" s="26"/>
      <c r="J48" s="26"/>
      <c r="K48" s="26"/>
      <c r="L48" s="26"/>
      <c r="M48" s="26"/>
      <c r="N48" s="147"/>
      <c r="O48" s="105"/>
      <c r="P48" s="94"/>
      <c r="Q48" s="135"/>
      <c r="R48" s="107"/>
    </row>
    <row r="49" spans="2:21" s="45" customFormat="1" ht="11.6" x14ac:dyDescent="0.35">
      <c r="B49" s="39"/>
      <c r="C49" s="39"/>
      <c r="D49" s="39"/>
      <c r="E49" s="26"/>
      <c r="F49" s="52"/>
      <c r="G49" s="26"/>
      <c r="H49" s="26"/>
      <c r="I49" s="26"/>
      <c r="J49" s="26"/>
      <c r="K49" s="26"/>
      <c r="L49" s="26"/>
      <c r="M49" s="26"/>
      <c r="N49" s="147"/>
      <c r="O49" s="105"/>
      <c r="P49" s="94"/>
      <c r="Q49" s="135"/>
      <c r="R49" s="107"/>
    </row>
    <row r="50" spans="2:21" ht="14.7" customHeight="1" x14ac:dyDescent="0.35">
      <c r="O50" s="101"/>
      <c r="P50" s="191"/>
      <c r="Q50" s="137"/>
      <c r="R50" s="107"/>
    </row>
    <row r="51" spans="2:21" s="45" customFormat="1" x14ac:dyDescent="0.35">
      <c r="B51" s="17" t="s">
        <v>167</v>
      </c>
      <c r="C51" s="18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24"/>
      <c r="O51" s="101"/>
      <c r="P51" s="191"/>
      <c r="Q51" s="137"/>
      <c r="R51" s="126"/>
    </row>
    <row r="52" spans="2:21" s="45" customFormat="1" x14ac:dyDescent="0.35">
      <c r="B52" s="17"/>
      <c r="C52" s="18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44"/>
      <c r="O52" s="101"/>
      <c r="P52" s="191"/>
      <c r="Q52" s="137"/>
      <c r="R52" s="126"/>
    </row>
    <row r="53" spans="2:21" s="92" customFormat="1" ht="11.6" x14ac:dyDescent="0.35">
      <c r="B53" s="26" t="s">
        <v>27</v>
      </c>
      <c r="C53" s="45"/>
      <c r="D53" s="26" t="s">
        <v>86</v>
      </c>
      <c r="E53" s="27"/>
      <c r="F53" s="39" t="s">
        <v>137</v>
      </c>
      <c r="G53" s="39"/>
      <c r="H53" s="74"/>
      <c r="I53" s="74"/>
      <c r="J53" s="74"/>
      <c r="K53" s="74"/>
      <c r="L53" s="74"/>
      <c r="M53" s="74"/>
      <c r="N53" s="131" t="s">
        <v>77</v>
      </c>
      <c r="O53" s="139" t="s">
        <v>90</v>
      </c>
      <c r="P53" s="43" t="s">
        <v>30</v>
      </c>
      <c r="Q53" s="139" t="s">
        <v>161</v>
      </c>
      <c r="R53" s="108"/>
    </row>
    <row r="54" spans="2:21" s="45" customFormat="1" ht="12.65" customHeight="1" x14ac:dyDescent="0.35">
      <c r="B54" s="83">
        <v>9040020007</v>
      </c>
      <c r="C54" s="39"/>
      <c r="D54" s="26" t="s">
        <v>1</v>
      </c>
      <c r="E54" s="26" t="s">
        <v>170</v>
      </c>
      <c r="F54" s="52" t="s">
        <v>129</v>
      </c>
      <c r="G54" s="26"/>
      <c r="H54" s="26"/>
      <c r="I54" s="26"/>
      <c r="J54" s="26"/>
      <c r="K54" s="26"/>
      <c r="L54" s="26"/>
      <c r="M54" s="26"/>
      <c r="N54" s="134">
        <f>($U$3*Q54)</f>
        <v>0</v>
      </c>
      <c r="O54" s="105">
        <f>Q54*(100%-P54)</f>
        <v>1.3986000000000001</v>
      </c>
      <c r="P54" s="324">
        <v>0.37</v>
      </c>
      <c r="Q54" s="318">
        <v>2.2200000000000002</v>
      </c>
      <c r="R54" s="126"/>
    </row>
    <row r="55" spans="2:21" s="45" customFormat="1" ht="12.65" customHeight="1" x14ac:dyDescent="0.35">
      <c r="B55" s="83">
        <v>9040020011</v>
      </c>
      <c r="C55" s="39"/>
      <c r="D55" s="26" t="s">
        <v>1</v>
      </c>
      <c r="E55" s="26" t="s">
        <v>170</v>
      </c>
      <c r="F55" s="52" t="s">
        <v>158</v>
      </c>
      <c r="G55" s="26"/>
      <c r="H55" s="26"/>
      <c r="I55" s="26"/>
      <c r="J55" s="26"/>
      <c r="K55" s="26"/>
      <c r="L55" s="26"/>
      <c r="M55" s="26"/>
      <c r="N55" s="134">
        <f>($U$3*Q55)</f>
        <v>0</v>
      </c>
      <c r="O55" s="105">
        <f>Q55*(100%-P55)</f>
        <v>1.3986000000000001</v>
      </c>
      <c r="P55" s="324">
        <v>0.37</v>
      </c>
      <c r="Q55" s="105">
        <f>Q54</f>
        <v>2.2200000000000002</v>
      </c>
      <c r="R55" s="126"/>
    </row>
    <row r="56" spans="2:21" s="45" customFormat="1" ht="12.65" customHeight="1" x14ac:dyDescent="0.35">
      <c r="B56" s="103">
        <v>9040020009</v>
      </c>
      <c r="C56" s="82"/>
      <c r="D56" s="52" t="s">
        <v>1</v>
      </c>
      <c r="E56" s="52" t="s">
        <v>170</v>
      </c>
      <c r="F56" s="52" t="s">
        <v>272</v>
      </c>
      <c r="G56" s="52"/>
      <c r="H56" s="52"/>
      <c r="I56" s="52"/>
      <c r="J56" s="52"/>
      <c r="K56" s="52"/>
      <c r="L56" s="52"/>
      <c r="M56" s="52"/>
      <c r="N56" s="141">
        <f>($U$3*Q56)</f>
        <v>0</v>
      </c>
      <c r="O56" s="105">
        <f>Q56*(100%-P56)</f>
        <v>1.3986000000000001</v>
      </c>
      <c r="P56" s="324">
        <v>0.37</v>
      </c>
      <c r="Q56" s="105">
        <f>Q54</f>
        <v>2.2200000000000002</v>
      </c>
      <c r="R56" s="126"/>
    </row>
    <row r="57" spans="2:21" s="45" customFormat="1" ht="12.65" customHeight="1" x14ac:dyDescent="0.35">
      <c r="B57" s="103"/>
      <c r="C57" s="8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141"/>
      <c r="O57" s="105"/>
      <c r="P57" s="324"/>
      <c r="Q57" s="135"/>
      <c r="R57" s="126"/>
    </row>
    <row r="58" spans="2:21" s="45" customFormat="1" ht="12.65" customHeight="1" x14ac:dyDescent="0.35">
      <c r="B58" s="103">
        <v>9040020008</v>
      </c>
      <c r="C58" s="82"/>
      <c r="D58" s="52" t="s">
        <v>1</v>
      </c>
      <c r="E58" s="52" t="s">
        <v>171</v>
      </c>
      <c r="F58" s="52" t="s">
        <v>129</v>
      </c>
      <c r="G58" s="52"/>
      <c r="H58" s="52"/>
      <c r="I58" s="52"/>
      <c r="J58" s="52"/>
      <c r="K58" s="52"/>
      <c r="L58" s="52"/>
      <c r="M58" s="52"/>
      <c r="N58" s="141">
        <f>($U$3*Q58)</f>
        <v>0</v>
      </c>
      <c r="O58" s="105">
        <f>Q58*(100%-P58)</f>
        <v>1.3986000000000001</v>
      </c>
      <c r="P58" s="324">
        <v>0.37</v>
      </c>
      <c r="Q58" s="318">
        <v>2.2200000000000002</v>
      </c>
      <c r="R58" s="126"/>
    </row>
    <row r="59" spans="2:21" s="45" customFormat="1" ht="12.65" customHeight="1" x14ac:dyDescent="0.35">
      <c r="B59" s="103">
        <v>9040020012</v>
      </c>
      <c r="C59" s="82"/>
      <c r="D59" s="52" t="s">
        <v>1</v>
      </c>
      <c r="E59" s="52" t="s">
        <v>171</v>
      </c>
      <c r="F59" s="52" t="s">
        <v>158</v>
      </c>
      <c r="G59" s="52"/>
      <c r="H59" s="52"/>
      <c r="I59" s="52"/>
      <c r="J59" s="52"/>
      <c r="K59" s="52"/>
      <c r="L59" s="52"/>
      <c r="M59" s="52"/>
      <c r="N59" s="141">
        <f>($U$3*Q59)</f>
        <v>0</v>
      </c>
      <c r="O59" s="105">
        <f>Q59*(100%-P59)</f>
        <v>1.3986000000000001</v>
      </c>
      <c r="P59" s="324">
        <v>0.37</v>
      </c>
      <c r="Q59" s="105">
        <f>Q58</f>
        <v>2.2200000000000002</v>
      </c>
      <c r="R59" s="126"/>
    </row>
    <row r="60" spans="2:21" s="45" customFormat="1" ht="12.65" customHeight="1" x14ac:dyDescent="0.35">
      <c r="B60" s="103">
        <v>9040020010</v>
      </c>
      <c r="C60" s="82"/>
      <c r="D60" s="52" t="s">
        <v>1</v>
      </c>
      <c r="E60" s="52" t="s">
        <v>171</v>
      </c>
      <c r="F60" s="52" t="s">
        <v>272</v>
      </c>
      <c r="G60" s="52"/>
      <c r="H60" s="52"/>
      <c r="I60" s="52"/>
      <c r="J60" s="52"/>
      <c r="K60" s="52"/>
      <c r="L60" s="52"/>
      <c r="M60" s="52"/>
      <c r="N60" s="141">
        <f>($U$3*Q60)</f>
        <v>0</v>
      </c>
      <c r="O60" s="105">
        <f>Q60*(100%-P60)</f>
        <v>1.3986000000000001</v>
      </c>
      <c r="P60" s="324">
        <v>0.37</v>
      </c>
      <c r="Q60" s="105">
        <f>Q58</f>
        <v>2.2200000000000002</v>
      </c>
      <c r="R60" s="126"/>
    </row>
    <row r="61" spans="2:21" s="45" customFormat="1" ht="11.6" x14ac:dyDescent="0.35">
      <c r="B61" s="39"/>
      <c r="C61" s="39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131"/>
      <c r="O61" s="105"/>
      <c r="P61" s="94"/>
      <c r="Q61" s="135"/>
      <c r="R61" s="126"/>
    </row>
    <row r="62" spans="2:21" s="45" customFormat="1" x14ac:dyDescent="0.35">
      <c r="B62" s="17"/>
      <c r="C62" s="18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24"/>
      <c r="O62" s="101"/>
      <c r="P62" s="191"/>
      <c r="Q62" s="137"/>
      <c r="R62" s="126"/>
    </row>
    <row r="63" spans="2:21" s="45" customFormat="1" x14ac:dyDescent="0.35">
      <c r="B63" s="17" t="s">
        <v>677</v>
      </c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24"/>
      <c r="O63" s="117"/>
      <c r="P63" s="174"/>
      <c r="Q63" s="175"/>
      <c r="R63" s="126"/>
    </row>
    <row r="64" spans="2:21" x14ac:dyDescent="0.35">
      <c r="N64" s="144"/>
      <c r="U64" s="45"/>
    </row>
    <row r="65" spans="2:18" s="92" customFormat="1" ht="11.6" x14ac:dyDescent="0.35">
      <c r="B65" s="26" t="s">
        <v>27</v>
      </c>
      <c r="C65" s="45"/>
      <c r="D65" s="26" t="s">
        <v>86</v>
      </c>
      <c r="E65" s="27"/>
      <c r="F65" s="39" t="s">
        <v>137</v>
      </c>
      <c r="G65" s="39"/>
      <c r="H65" s="74"/>
      <c r="I65" s="74"/>
      <c r="J65" s="74"/>
      <c r="K65" s="74"/>
      <c r="L65" s="74"/>
      <c r="M65" s="74"/>
      <c r="N65" s="131" t="s">
        <v>77</v>
      </c>
      <c r="O65" s="139" t="s">
        <v>90</v>
      </c>
      <c r="P65" s="43" t="s">
        <v>30</v>
      </c>
      <c r="Q65" s="139" t="s">
        <v>161</v>
      </c>
      <c r="R65" s="108"/>
    </row>
    <row r="66" spans="2:18" s="45" customFormat="1" ht="12.65" customHeight="1" x14ac:dyDescent="0.35">
      <c r="B66" s="83">
        <v>9040020013</v>
      </c>
      <c r="C66" s="39"/>
      <c r="D66" s="26" t="s">
        <v>1</v>
      </c>
      <c r="E66" s="26"/>
      <c r="F66" s="52" t="s">
        <v>129</v>
      </c>
      <c r="G66" s="26"/>
      <c r="H66" s="26"/>
      <c r="I66" s="26"/>
      <c r="J66" s="26"/>
      <c r="K66" s="26"/>
      <c r="L66" s="26"/>
      <c r="M66" s="59"/>
      <c r="N66" s="134">
        <f>($U$3*Q66)</f>
        <v>0</v>
      </c>
      <c r="O66" s="105">
        <f>Q66*(100%-P66)</f>
        <v>22.837499999999999</v>
      </c>
      <c r="P66" s="324">
        <v>0.37</v>
      </c>
      <c r="Q66" s="318">
        <v>36.25</v>
      </c>
      <c r="R66" s="126"/>
    </row>
    <row r="67" spans="2:18" s="45" customFormat="1" ht="12.65" customHeight="1" x14ac:dyDescent="0.35">
      <c r="B67" s="83">
        <v>9040020015</v>
      </c>
      <c r="C67" s="39"/>
      <c r="D67" s="26" t="s">
        <v>1</v>
      </c>
      <c r="E67" s="26"/>
      <c r="F67" s="52" t="s">
        <v>158</v>
      </c>
      <c r="G67" s="26"/>
      <c r="H67" s="26"/>
      <c r="I67" s="26"/>
      <c r="J67" s="26"/>
      <c r="K67" s="26"/>
      <c r="L67" s="26"/>
      <c r="M67" s="59"/>
      <c r="N67" s="134">
        <f>($U$3*Q67)</f>
        <v>0</v>
      </c>
      <c r="O67" s="105">
        <f>Q67*(100%-P67)</f>
        <v>22.837499999999999</v>
      </c>
      <c r="P67" s="324">
        <v>0.37</v>
      </c>
      <c r="Q67" s="105">
        <f>Q66</f>
        <v>36.25</v>
      </c>
      <c r="R67" s="126"/>
    </row>
    <row r="68" spans="2:18" s="45" customFormat="1" ht="12.65" customHeight="1" x14ac:dyDescent="0.35">
      <c r="B68" s="103">
        <v>9040020014</v>
      </c>
      <c r="C68" s="82"/>
      <c r="D68" s="52" t="s">
        <v>1</v>
      </c>
      <c r="E68" s="52"/>
      <c r="F68" s="52" t="s">
        <v>272</v>
      </c>
      <c r="G68" s="52"/>
      <c r="H68" s="52"/>
      <c r="I68" s="52"/>
      <c r="J68" s="52"/>
      <c r="K68" s="52"/>
      <c r="L68" s="52"/>
      <c r="M68" s="118"/>
      <c r="N68" s="141">
        <f>($U$3*Q68)</f>
        <v>0</v>
      </c>
      <c r="O68" s="105">
        <f>Q68*(100%-P68)</f>
        <v>22.837499999999999</v>
      </c>
      <c r="P68" s="324">
        <v>0.37</v>
      </c>
      <c r="Q68" s="105">
        <f>Q66</f>
        <v>36.25</v>
      </c>
      <c r="R68" s="126"/>
    </row>
    <row r="69" spans="2:18" s="45" customFormat="1" x14ac:dyDescent="0.35">
      <c r="B69" s="17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24"/>
      <c r="O69" s="101"/>
      <c r="P69" s="191"/>
      <c r="Q69" s="137"/>
      <c r="R69" s="126"/>
    </row>
    <row r="70" spans="2:18" s="45" customFormat="1" x14ac:dyDescent="0.35">
      <c r="B70" s="17"/>
      <c r="C70" s="18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24"/>
      <c r="O70" s="101"/>
      <c r="P70" s="191"/>
      <c r="Q70" s="137"/>
      <c r="R70" s="126"/>
    </row>
    <row r="71" spans="2:18" s="45" customFormat="1" x14ac:dyDescent="0.35">
      <c r="B71" s="17" t="s">
        <v>678</v>
      </c>
      <c r="C71" s="18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24"/>
      <c r="O71" s="101"/>
      <c r="P71" s="191"/>
      <c r="Q71" s="137"/>
      <c r="R71" s="126"/>
    </row>
    <row r="72" spans="2:18" s="45" customFormat="1" ht="12.45" customHeight="1" x14ac:dyDescent="0.35">
      <c r="B72" s="17"/>
      <c r="C72" s="18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44"/>
      <c r="O72" s="117"/>
      <c r="P72" s="174"/>
      <c r="Q72" s="175"/>
      <c r="R72" s="126"/>
    </row>
    <row r="73" spans="2:18" s="92" customFormat="1" ht="11.6" x14ac:dyDescent="0.35">
      <c r="B73" s="26" t="s">
        <v>27</v>
      </c>
      <c r="C73" s="45"/>
      <c r="D73" s="26" t="s">
        <v>86</v>
      </c>
      <c r="E73" s="27"/>
      <c r="F73" s="39" t="s">
        <v>137</v>
      </c>
      <c r="G73" s="39"/>
      <c r="H73" s="74"/>
      <c r="I73" s="74"/>
      <c r="J73" s="74"/>
      <c r="K73" s="74"/>
      <c r="L73" s="74"/>
      <c r="M73" s="74"/>
      <c r="N73" s="131" t="s">
        <v>77</v>
      </c>
      <c r="O73" s="139" t="s">
        <v>90</v>
      </c>
      <c r="P73" s="43" t="s">
        <v>30</v>
      </c>
      <c r="Q73" s="139" t="s">
        <v>161</v>
      </c>
      <c r="R73" s="108"/>
    </row>
    <row r="74" spans="2:18" s="45" customFormat="1" ht="12.65" customHeight="1" x14ac:dyDescent="0.35">
      <c r="B74" s="103">
        <v>9040030001</v>
      </c>
      <c r="C74" s="82"/>
      <c r="D74" s="52" t="s">
        <v>45</v>
      </c>
      <c r="E74" s="52"/>
      <c r="F74" s="52" t="s">
        <v>129</v>
      </c>
      <c r="G74" s="52"/>
      <c r="H74" s="52"/>
      <c r="I74" s="52"/>
      <c r="J74" s="52"/>
      <c r="K74" s="52"/>
      <c r="L74" s="52"/>
      <c r="M74" s="118"/>
      <c r="N74" s="134">
        <f>($U$3*Q74)</f>
        <v>0</v>
      </c>
      <c r="O74" s="105">
        <f>Q74*(100%-P74)</f>
        <v>12.593699999999998</v>
      </c>
      <c r="P74" s="324">
        <v>0.37</v>
      </c>
      <c r="Q74" s="318">
        <v>19.989999999999998</v>
      </c>
      <c r="R74" s="126"/>
    </row>
    <row r="75" spans="2:18" s="45" customFormat="1" ht="12.65" customHeight="1" x14ac:dyDescent="0.35">
      <c r="B75" s="103">
        <v>9040030003</v>
      </c>
      <c r="C75" s="82"/>
      <c r="D75" s="52" t="s">
        <v>45</v>
      </c>
      <c r="E75" s="52"/>
      <c r="F75" s="52" t="s">
        <v>158</v>
      </c>
      <c r="G75" s="52"/>
      <c r="H75" s="52"/>
      <c r="I75" s="52"/>
      <c r="J75" s="52"/>
      <c r="K75" s="52"/>
      <c r="L75" s="52"/>
      <c r="M75" s="118"/>
      <c r="N75" s="134">
        <f>($U$3*Q75)</f>
        <v>0</v>
      </c>
      <c r="O75" s="105">
        <f>Q75*(100%-P75)</f>
        <v>12.593699999999998</v>
      </c>
      <c r="P75" s="324">
        <v>0.37</v>
      </c>
      <c r="Q75" s="105">
        <f>Q74</f>
        <v>19.989999999999998</v>
      </c>
      <c r="R75" s="126"/>
    </row>
    <row r="76" spans="2:18" s="45" customFormat="1" ht="12.65" customHeight="1" x14ac:dyDescent="0.35">
      <c r="B76" s="103">
        <v>9040030002</v>
      </c>
      <c r="C76" s="82"/>
      <c r="D76" s="52" t="s">
        <v>45</v>
      </c>
      <c r="E76" s="52"/>
      <c r="F76" s="52" t="s">
        <v>272</v>
      </c>
      <c r="G76" s="52"/>
      <c r="H76" s="52"/>
      <c r="I76" s="52"/>
      <c r="J76" s="52"/>
      <c r="K76" s="52"/>
      <c r="L76" s="52"/>
      <c r="M76" s="118"/>
      <c r="N76" s="141">
        <f>($U$3*Q76)</f>
        <v>0</v>
      </c>
      <c r="O76" s="105">
        <f>Q76*(100%-P76)</f>
        <v>12.593699999999998</v>
      </c>
      <c r="P76" s="324">
        <v>0.37</v>
      </c>
      <c r="Q76" s="105">
        <f>Q74</f>
        <v>19.989999999999998</v>
      </c>
      <c r="R76" s="126"/>
    </row>
    <row r="77" spans="2:18" s="45" customFormat="1" ht="12.65" customHeight="1" x14ac:dyDescent="0.35">
      <c r="B77" s="17"/>
      <c r="C77" s="18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24"/>
      <c r="O77" s="101"/>
      <c r="P77" s="191"/>
      <c r="Q77" s="137"/>
      <c r="R77" s="126"/>
    </row>
    <row r="78" spans="2:18" s="92" customFormat="1" ht="12.45" customHeight="1" x14ac:dyDescent="0.35">
      <c r="B78" s="17"/>
      <c r="C78" s="1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24"/>
      <c r="O78" s="101"/>
      <c r="P78" s="192"/>
      <c r="Q78" s="137"/>
      <c r="R78" s="126"/>
    </row>
    <row r="79" spans="2:18" s="45" customFormat="1" x14ac:dyDescent="0.35">
      <c r="B79" s="17" t="s">
        <v>679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24"/>
      <c r="O79" s="101"/>
      <c r="P79" s="191"/>
      <c r="Q79" s="137"/>
      <c r="R79" s="126"/>
    </row>
    <row r="80" spans="2:18" s="45" customFormat="1" ht="12.45" customHeight="1" x14ac:dyDescent="0.35">
      <c r="B80" s="17"/>
      <c r="C80" s="18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44"/>
      <c r="O80" s="117"/>
      <c r="P80" s="174"/>
      <c r="Q80" s="175"/>
      <c r="R80" s="126"/>
    </row>
    <row r="81" spans="2:21" x14ac:dyDescent="0.35">
      <c r="B81" s="26" t="s">
        <v>27</v>
      </c>
      <c r="C81" s="28"/>
      <c r="D81" s="26" t="s">
        <v>86</v>
      </c>
      <c r="E81" s="28"/>
      <c r="F81" s="39" t="s">
        <v>137</v>
      </c>
      <c r="G81" s="39"/>
      <c r="H81" s="74"/>
      <c r="I81" s="74"/>
      <c r="J81" s="74"/>
      <c r="K81" s="74"/>
      <c r="L81" s="74"/>
      <c r="M81" s="74"/>
      <c r="N81" s="131" t="s">
        <v>77</v>
      </c>
      <c r="O81" s="139" t="s">
        <v>90</v>
      </c>
      <c r="P81" s="43" t="s">
        <v>30</v>
      </c>
      <c r="Q81" s="139" t="s">
        <v>161</v>
      </c>
      <c r="R81" s="108"/>
    </row>
    <row r="82" spans="2:21" s="45" customFormat="1" ht="12.65" customHeight="1" x14ac:dyDescent="0.35">
      <c r="B82" s="103">
        <v>9040030004</v>
      </c>
      <c r="C82" s="52" t="s">
        <v>680</v>
      </c>
      <c r="D82" s="52"/>
      <c r="E82" s="52"/>
      <c r="F82" s="52" t="s">
        <v>129</v>
      </c>
      <c r="G82" s="52"/>
      <c r="H82" s="52"/>
      <c r="I82" s="52"/>
      <c r="J82" s="52"/>
      <c r="K82" s="52"/>
      <c r="L82" s="52"/>
      <c r="M82" s="118"/>
      <c r="N82" s="141">
        <f>($U$3*Q82)</f>
        <v>0</v>
      </c>
      <c r="O82" s="105">
        <f>Q82*(100%-P82)</f>
        <v>167.92020000000002</v>
      </c>
      <c r="P82" s="324">
        <v>0.37</v>
      </c>
      <c r="Q82" s="318">
        <v>266.54000000000002</v>
      </c>
      <c r="R82" s="126"/>
      <c r="S82" s="52"/>
      <c r="T82" s="53"/>
      <c r="U82" s="19"/>
    </row>
    <row r="83" spans="2:21" s="45" customFormat="1" ht="12.65" customHeight="1" x14ac:dyDescent="0.35">
      <c r="B83" s="103">
        <v>9040030005</v>
      </c>
      <c r="C83" s="52" t="s">
        <v>680</v>
      </c>
      <c r="D83" s="52"/>
      <c r="E83" s="52"/>
      <c r="F83" s="52" t="s">
        <v>158</v>
      </c>
      <c r="G83" s="52"/>
      <c r="H83" s="52"/>
      <c r="I83" s="52"/>
      <c r="J83" s="52"/>
      <c r="K83" s="52"/>
      <c r="L83" s="52"/>
      <c r="M83" s="118"/>
      <c r="N83" s="141">
        <f>($U$3*Q83)</f>
        <v>0</v>
      </c>
      <c r="O83" s="105">
        <f>Q83*(100%-P83)</f>
        <v>167.92020000000002</v>
      </c>
      <c r="P83" s="324">
        <v>0.37</v>
      </c>
      <c r="Q83" s="105">
        <f>Q82</f>
        <v>266.54000000000002</v>
      </c>
      <c r="R83" s="126"/>
      <c r="S83" s="52"/>
      <c r="T83" s="53"/>
      <c r="U83" s="19"/>
    </row>
    <row r="84" spans="2:21" s="45" customFormat="1" ht="12.65" customHeight="1" x14ac:dyDescent="0.35">
      <c r="B84" s="103">
        <v>9040030006</v>
      </c>
      <c r="C84" s="52" t="s">
        <v>680</v>
      </c>
      <c r="D84" s="52"/>
      <c r="E84" s="52"/>
      <c r="F84" s="52" t="s">
        <v>272</v>
      </c>
      <c r="G84" s="52"/>
      <c r="H84" s="52"/>
      <c r="I84" s="52"/>
      <c r="J84" s="52"/>
      <c r="K84" s="52"/>
      <c r="L84" s="52"/>
      <c r="M84" s="118"/>
      <c r="N84" s="141">
        <f>($U$3*Q84)</f>
        <v>0</v>
      </c>
      <c r="O84" s="105">
        <f>Q84*(100%-P84)</f>
        <v>167.92020000000002</v>
      </c>
      <c r="P84" s="324">
        <v>0.37</v>
      </c>
      <c r="Q84" s="105">
        <f>Q82</f>
        <v>266.54000000000002</v>
      </c>
      <c r="R84" s="126"/>
      <c r="S84" s="52"/>
      <c r="T84" s="53"/>
      <c r="U84" s="19"/>
    </row>
    <row r="85" spans="2:21" s="101" customFormat="1" ht="12.45" customHeight="1" x14ac:dyDescent="0.35">
      <c r="B85" s="17"/>
      <c r="C85" s="18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24"/>
      <c r="P85" s="107"/>
      <c r="Q85" s="137"/>
      <c r="R85" s="126"/>
    </row>
    <row r="86" spans="2:21" s="101" customFormat="1" ht="12.45" customHeight="1" x14ac:dyDescent="0.35">
      <c r="B86" s="17"/>
      <c r="C86" s="18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24"/>
      <c r="P86" s="107"/>
      <c r="Q86" s="137"/>
      <c r="R86" s="126"/>
    </row>
    <row r="87" spans="2:21" s="92" customFormat="1" x14ac:dyDescent="0.35">
      <c r="B87" s="17" t="s">
        <v>681</v>
      </c>
      <c r="C87" s="18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24"/>
      <c r="O87" s="101"/>
      <c r="P87" s="192"/>
      <c r="Q87" s="137"/>
      <c r="R87" s="126"/>
    </row>
    <row r="88" spans="2:21" s="45" customFormat="1" ht="12.45" customHeight="1" x14ac:dyDescent="0.35">
      <c r="B88" s="17"/>
      <c r="C88" s="18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44"/>
      <c r="O88" s="101"/>
      <c r="P88" s="191"/>
      <c r="Q88" s="137"/>
      <c r="R88" s="126"/>
    </row>
    <row r="89" spans="2:21" x14ac:dyDescent="0.35">
      <c r="B89" s="26" t="s">
        <v>27</v>
      </c>
      <c r="C89" s="28"/>
      <c r="D89" s="26" t="s">
        <v>86</v>
      </c>
      <c r="E89" s="28"/>
      <c r="F89" s="39" t="s">
        <v>137</v>
      </c>
      <c r="G89" s="39"/>
      <c r="H89" s="74"/>
      <c r="I89" s="74"/>
      <c r="J89" s="74"/>
      <c r="K89" s="74"/>
      <c r="L89" s="74"/>
      <c r="M89" s="74"/>
      <c r="N89" s="131" t="s">
        <v>77</v>
      </c>
      <c r="O89" s="139" t="s">
        <v>90</v>
      </c>
      <c r="P89" s="43" t="s">
        <v>30</v>
      </c>
      <c r="Q89" s="139" t="s">
        <v>161</v>
      </c>
      <c r="R89" s="108"/>
    </row>
    <row r="90" spans="2:21" ht="12.65" customHeight="1" x14ac:dyDescent="0.35">
      <c r="B90" s="103">
        <v>9040040013</v>
      </c>
      <c r="C90" s="82" t="s">
        <v>50</v>
      </c>
      <c r="D90" s="52" t="s">
        <v>174</v>
      </c>
      <c r="E90" s="52"/>
      <c r="F90" s="52" t="s">
        <v>129</v>
      </c>
      <c r="G90" s="52"/>
      <c r="H90" s="52"/>
      <c r="I90" s="52"/>
      <c r="J90" s="52"/>
      <c r="K90" s="52"/>
      <c r="L90" s="52"/>
      <c r="M90" s="118"/>
      <c r="N90" s="141">
        <f t="shared" ref="N90:N95" si="2">($U$3*Q90)</f>
        <v>0</v>
      </c>
      <c r="O90" s="105">
        <f t="shared" ref="O90:O95" si="3">Q90*(100%-P90)</f>
        <v>8.6183999999999994</v>
      </c>
      <c r="P90" s="324">
        <v>0.37</v>
      </c>
      <c r="Q90" s="318">
        <v>13.68</v>
      </c>
    </row>
    <row r="91" spans="2:21" ht="12.65" customHeight="1" x14ac:dyDescent="0.35">
      <c r="B91" s="103">
        <v>9040040015</v>
      </c>
      <c r="C91" s="82" t="s">
        <v>50</v>
      </c>
      <c r="D91" s="52" t="s">
        <v>174</v>
      </c>
      <c r="E91" s="52"/>
      <c r="F91" s="52" t="s">
        <v>158</v>
      </c>
      <c r="G91" s="52"/>
      <c r="H91" s="52"/>
      <c r="I91" s="52"/>
      <c r="J91" s="52"/>
      <c r="K91" s="52"/>
      <c r="L91" s="52"/>
      <c r="M91" s="118"/>
      <c r="N91" s="141">
        <f t="shared" si="2"/>
        <v>0</v>
      </c>
      <c r="O91" s="105">
        <f t="shared" si="3"/>
        <v>8.6183999999999994</v>
      </c>
      <c r="P91" s="324">
        <v>0.37</v>
      </c>
      <c r="Q91" s="105">
        <f>Q90</f>
        <v>13.68</v>
      </c>
    </row>
    <row r="92" spans="2:21" ht="12.65" customHeight="1" x14ac:dyDescent="0.35">
      <c r="B92" s="103">
        <v>9040040014</v>
      </c>
      <c r="C92" s="82" t="s">
        <v>50</v>
      </c>
      <c r="D92" s="52" t="s">
        <v>174</v>
      </c>
      <c r="E92" s="52"/>
      <c r="F92" s="52" t="s">
        <v>272</v>
      </c>
      <c r="G92" s="52"/>
      <c r="H92" s="52"/>
      <c r="I92" s="52"/>
      <c r="J92" s="52"/>
      <c r="K92" s="52"/>
      <c r="L92" s="52"/>
      <c r="M92" s="118"/>
      <c r="N92" s="141">
        <f t="shared" si="2"/>
        <v>0</v>
      </c>
      <c r="O92" s="105">
        <f t="shared" si="3"/>
        <v>8.6183999999999994</v>
      </c>
      <c r="P92" s="324">
        <v>0.37</v>
      </c>
      <c r="Q92" s="105">
        <f>Q90</f>
        <v>13.68</v>
      </c>
    </row>
    <row r="93" spans="2:21" ht="12.65" customHeight="1" x14ac:dyDescent="0.35">
      <c r="B93" s="103">
        <v>9040040001</v>
      </c>
      <c r="C93" s="82"/>
      <c r="D93" s="52" t="s">
        <v>173</v>
      </c>
      <c r="E93" s="52"/>
      <c r="F93" s="52" t="s">
        <v>129</v>
      </c>
      <c r="G93" s="52"/>
      <c r="H93" s="52"/>
      <c r="I93" s="52"/>
      <c r="J93" s="52"/>
      <c r="K93" s="52"/>
      <c r="L93" s="52"/>
      <c r="M93" s="52"/>
      <c r="N93" s="141">
        <f t="shared" si="2"/>
        <v>0</v>
      </c>
      <c r="O93" s="105">
        <f t="shared" si="3"/>
        <v>9.5381999999999998</v>
      </c>
      <c r="P93" s="324">
        <v>0.37</v>
      </c>
      <c r="Q93" s="318">
        <v>15.14</v>
      </c>
    </row>
    <row r="94" spans="2:21" ht="12.65" customHeight="1" x14ac:dyDescent="0.35">
      <c r="B94" s="103">
        <v>9040040003</v>
      </c>
      <c r="C94" s="82"/>
      <c r="D94" s="52" t="s">
        <v>173</v>
      </c>
      <c r="E94" s="52"/>
      <c r="F94" s="52" t="s">
        <v>158</v>
      </c>
      <c r="G94" s="52"/>
      <c r="H94" s="52"/>
      <c r="I94" s="52"/>
      <c r="J94" s="52"/>
      <c r="K94" s="52"/>
      <c r="L94" s="52"/>
      <c r="M94" s="52"/>
      <c r="N94" s="141">
        <f t="shared" si="2"/>
        <v>0</v>
      </c>
      <c r="O94" s="105">
        <f t="shared" si="3"/>
        <v>9.5381999999999998</v>
      </c>
      <c r="P94" s="324">
        <v>0.37</v>
      </c>
      <c r="Q94" s="105">
        <f>Q93</f>
        <v>15.14</v>
      </c>
    </row>
    <row r="95" spans="2:21" ht="12.65" customHeight="1" x14ac:dyDescent="0.35">
      <c r="B95" s="103">
        <v>9040040002</v>
      </c>
      <c r="C95" s="82"/>
      <c r="D95" s="52" t="s">
        <v>173</v>
      </c>
      <c r="E95" s="52"/>
      <c r="F95" s="52" t="s">
        <v>272</v>
      </c>
      <c r="G95" s="52"/>
      <c r="H95" s="52"/>
      <c r="I95" s="52"/>
      <c r="J95" s="52"/>
      <c r="K95" s="52"/>
      <c r="L95" s="52"/>
      <c r="M95" s="52"/>
      <c r="N95" s="141">
        <f t="shared" si="2"/>
        <v>0</v>
      </c>
      <c r="O95" s="105">
        <f t="shared" si="3"/>
        <v>9.5381999999999998</v>
      </c>
      <c r="P95" s="324">
        <v>0.37</v>
      </c>
      <c r="Q95" s="105">
        <f>Q93</f>
        <v>15.14</v>
      </c>
    </row>
    <row r="96" spans="2:21" ht="12.45" customHeight="1" x14ac:dyDescent="0.35">
      <c r="B96" s="82"/>
      <c r="C96" s="82"/>
      <c r="D96" s="52"/>
      <c r="E96" s="52"/>
      <c r="F96" s="88"/>
      <c r="G96" s="52"/>
      <c r="H96" s="52"/>
      <c r="I96" s="52"/>
      <c r="J96" s="52"/>
      <c r="K96" s="52"/>
      <c r="L96" s="52"/>
      <c r="M96" s="52"/>
      <c r="N96" s="147"/>
      <c r="O96" s="105"/>
      <c r="P96" s="94"/>
      <c r="Q96" s="105"/>
    </row>
    <row r="97" spans="2:21" ht="12.45" customHeight="1" x14ac:dyDescent="0.35">
      <c r="B97" s="82"/>
      <c r="C97" s="82"/>
      <c r="D97" s="52"/>
      <c r="E97" s="52"/>
      <c r="F97" s="88"/>
      <c r="G97" s="52"/>
      <c r="H97" s="52"/>
      <c r="I97" s="52"/>
      <c r="J97" s="52"/>
      <c r="K97" s="52"/>
      <c r="L97" s="52"/>
      <c r="M97" s="52"/>
      <c r="N97" s="147"/>
      <c r="O97" s="105"/>
      <c r="P97" s="94"/>
      <c r="Q97" s="105"/>
    </row>
    <row r="98" spans="2:21" s="92" customFormat="1" x14ac:dyDescent="0.35">
      <c r="B98" s="17" t="s">
        <v>681</v>
      </c>
      <c r="C98" s="18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24"/>
      <c r="O98" s="101"/>
      <c r="P98" s="192"/>
      <c r="Q98" s="137"/>
      <c r="R98" s="126"/>
    </row>
    <row r="99" spans="2:21" s="92" customFormat="1" ht="6.45" customHeight="1" x14ac:dyDescent="0.35">
      <c r="B99" s="17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24"/>
      <c r="O99" s="101"/>
      <c r="P99" s="192"/>
      <c r="Q99" s="137"/>
      <c r="R99" s="126"/>
    </row>
    <row r="100" spans="2:21" s="45" customFormat="1" ht="6.45" customHeight="1" x14ac:dyDescent="0.35">
      <c r="B100" s="17"/>
      <c r="C100" s="18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44"/>
      <c r="O100" s="101"/>
      <c r="P100" s="191"/>
      <c r="Q100" s="137"/>
      <c r="R100" s="126"/>
    </row>
    <row r="101" spans="2:21" x14ac:dyDescent="0.35">
      <c r="B101" s="26" t="s">
        <v>27</v>
      </c>
      <c r="C101" s="28"/>
      <c r="D101" s="26" t="s">
        <v>86</v>
      </c>
      <c r="E101" s="28"/>
      <c r="F101" s="39" t="s">
        <v>137</v>
      </c>
      <c r="G101" s="39"/>
      <c r="H101" s="74"/>
      <c r="I101" s="74"/>
      <c r="J101" s="74"/>
      <c r="K101" s="74"/>
      <c r="L101" s="74"/>
      <c r="M101" s="74"/>
      <c r="N101" s="131" t="s">
        <v>77</v>
      </c>
      <c r="O101" s="139" t="s">
        <v>90</v>
      </c>
      <c r="P101" s="43" t="s">
        <v>30</v>
      </c>
      <c r="Q101" s="139" t="s">
        <v>161</v>
      </c>
      <c r="R101" s="108"/>
    </row>
    <row r="102" spans="2:21" s="45" customFormat="1" ht="12.65" customHeight="1" x14ac:dyDescent="0.35">
      <c r="B102" s="103">
        <v>9040040016</v>
      </c>
      <c r="C102" s="82" t="s">
        <v>53</v>
      </c>
      <c r="D102" s="52" t="s">
        <v>175</v>
      </c>
      <c r="E102" s="52"/>
      <c r="F102" s="52" t="s">
        <v>129</v>
      </c>
      <c r="G102" s="52"/>
      <c r="H102" s="52"/>
      <c r="I102" s="52"/>
      <c r="J102" s="52"/>
      <c r="K102" s="52"/>
      <c r="L102" s="52"/>
      <c r="M102" s="118"/>
      <c r="N102" s="141">
        <f t="shared" ref="N102:N107" si="4">($U$3*Q102)</f>
        <v>0</v>
      </c>
      <c r="O102" s="105">
        <f t="shared" ref="O102:O107" si="5">Q102*(100%-P102)</f>
        <v>8.3600999999999992</v>
      </c>
      <c r="P102" s="324">
        <v>0.37</v>
      </c>
      <c r="Q102" s="318">
        <v>13.27</v>
      </c>
      <c r="R102" s="126"/>
      <c r="S102" s="52"/>
      <c r="T102" s="53"/>
      <c r="U102" s="19"/>
    </row>
    <row r="103" spans="2:21" s="45" customFormat="1" ht="12.65" customHeight="1" x14ac:dyDescent="0.35">
      <c r="B103" s="103">
        <v>9040040015</v>
      </c>
      <c r="C103" s="82" t="s">
        <v>53</v>
      </c>
      <c r="D103" s="52" t="s">
        <v>175</v>
      </c>
      <c r="E103" s="52"/>
      <c r="F103" s="52" t="s">
        <v>158</v>
      </c>
      <c r="G103" s="52"/>
      <c r="H103" s="52"/>
      <c r="I103" s="52"/>
      <c r="J103" s="52"/>
      <c r="K103" s="52"/>
      <c r="L103" s="52"/>
      <c r="M103" s="118"/>
      <c r="N103" s="141">
        <f t="shared" si="4"/>
        <v>0</v>
      </c>
      <c r="O103" s="105">
        <f t="shared" si="5"/>
        <v>8.3600999999999992</v>
      </c>
      <c r="P103" s="324">
        <v>0.37</v>
      </c>
      <c r="Q103" s="105">
        <f>Q102</f>
        <v>13.27</v>
      </c>
      <c r="R103" s="126"/>
      <c r="S103" s="52"/>
      <c r="T103" s="53"/>
      <c r="U103" s="19"/>
    </row>
    <row r="104" spans="2:21" s="45" customFormat="1" ht="12.65" customHeight="1" x14ac:dyDescent="0.35">
      <c r="B104" s="103">
        <v>9040040014</v>
      </c>
      <c r="C104" s="82" t="s">
        <v>53</v>
      </c>
      <c r="D104" s="52" t="s">
        <v>175</v>
      </c>
      <c r="E104" s="52"/>
      <c r="F104" s="52" t="s">
        <v>272</v>
      </c>
      <c r="G104" s="52"/>
      <c r="H104" s="52"/>
      <c r="I104" s="52"/>
      <c r="J104" s="52"/>
      <c r="K104" s="52"/>
      <c r="L104" s="52"/>
      <c r="M104" s="118"/>
      <c r="N104" s="141">
        <f t="shared" si="4"/>
        <v>0</v>
      </c>
      <c r="O104" s="105">
        <f t="shared" si="5"/>
        <v>8.3600999999999992</v>
      </c>
      <c r="P104" s="324">
        <v>0.37</v>
      </c>
      <c r="Q104" s="105">
        <f>Q102</f>
        <v>13.27</v>
      </c>
      <c r="R104" s="126"/>
      <c r="S104" s="52"/>
      <c r="T104" s="53"/>
      <c r="U104" s="19"/>
    </row>
    <row r="105" spans="2:21" s="45" customFormat="1" ht="12.65" customHeight="1" x14ac:dyDescent="0.35">
      <c r="B105" s="103">
        <v>9040040004</v>
      </c>
      <c r="C105" s="82"/>
      <c r="D105" s="52" t="s">
        <v>55</v>
      </c>
      <c r="E105" s="52"/>
      <c r="F105" s="52" t="s">
        <v>129</v>
      </c>
      <c r="G105" s="52"/>
      <c r="H105" s="52"/>
      <c r="I105" s="52"/>
      <c r="J105" s="52"/>
      <c r="K105" s="52"/>
      <c r="L105" s="52"/>
      <c r="M105" s="52"/>
      <c r="N105" s="141">
        <f t="shared" si="4"/>
        <v>0</v>
      </c>
      <c r="O105" s="105">
        <f t="shared" si="5"/>
        <v>9.166500000000001</v>
      </c>
      <c r="P105" s="324">
        <v>0.37</v>
      </c>
      <c r="Q105" s="318">
        <v>14.55</v>
      </c>
      <c r="R105" s="126"/>
      <c r="S105" s="52"/>
      <c r="T105" s="53"/>
      <c r="U105" s="19"/>
    </row>
    <row r="106" spans="2:21" s="45" customFormat="1" ht="12.65" customHeight="1" x14ac:dyDescent="0.35">
      <c r="B106" s="103">
        <v>9040040003</v>
      </c>
      <c r="C106" s="82"/>
      <c r="D106" s="52" t="s">
        <v>55</v>
      </c>
      <c r="E106" s="52"/>
      <c r="F106" s="52" t="s">
        <v>158</v>
      </c>
      <c r="G106" s="52"/>
      <c r="H106" s="52"/>
      <c r="I106" s="52"/>
      <c r="J106" s="52"/>
      <c r="K106" s="52"/>
      <c r="L106" s="52"/>
      <c r="M106" s="52"/>
      <c r="N106" s="141">
        <f t="shared" si="4"/>
        <v>0</v>
      </c>
      <c r="O106" s="105">
        <f t="shared" si="5"/>
        <v>9.166500000000001</v>
      </c>
      <c r="P106" s="324">
        <v>0.37</v>
      </c>
      <c r="Q106" s="105">
        <f>Q105</f>
        <v>14.55</v>
      </c>
      <c r="R106" s="126"/>
      <c r="S106" s="52"/>
      <c r="T106" s="53"/>
      <c r="U106" s="19"/>
    </row>
    <row r="107" spans="2:21" s="45" customFormat="1" ht="12.65" customHeight="1" x14ac:dyDescent="0.35">
      <c r="B107" s="103">
        <v>9040040002</v>
      </c>
      <c r="C107" s="82"/>
      <c r="D107" s="52" t="s">
        <v>55</v>
      </c>
      <c r="E107" s="52"/>
      <c r="F107" s="52" t="s">
        <v>272</v>
      </c>
      <c r="G107" s="52"/>
      <c r="H107" s="52"/>
      <c r="I107" s="52"/>
      <c r="J107" s="52"/>
      <c r="K107" s="52"/>
      <c r="L107" s="52"/>
      <c r="M107" s="52"/>
      <c r="N107" s="141">
        <f t="shared" si="4"/>
        <v>0</v>
      </c>
      <c r="O107" s="105">
        <f t="shared" si="5"/>
        <v>9.166500000000001</v>
      </c>
      <c r="P107" s="324">
        <v>0.37</v>
      </c>
      <c r="Q107" s="105">
        <f>Q105</f>
        <v>14.55</v>
      </c>
      <c r="R107" s="126"/>
      <c r="S107" s="52"/>
      <c r="T107" s="53"/>
      <c r="U107" s="19"/>
    </row>
    <row r="108" spans="2:21" s="45" customFormat="1" ht="6.45" customHeight="1" x14ac:dyDescent="0.35">
      <c r="B108" s="87"/>
      <c r="C108" s="100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187"/>
      <c r="O108" s="105"/>
      <c r="P108" s="324"/>
      <c r="Q108" s="105"/>
      <c r="R108" s="126"/>
      <c r="S108" s="52"/>
      <c r="T108" s="53"/>
      <c r="U108" s="19"/>
    </row>
    <row r="109" spans="2:21" s="101" customFormat="1" ht="12.65" customHeight="1" x14ac:dyDescent="0.35">
      <c r="B109" s="103"/>
      <c r="C109" s="8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149" t="s">
        <v>77</v>
      </c>
      <c r="O109" s="105"/>
      <c r="P109" s="324"/>
      <c r="Q109" s="135"/>
      <c r="R109" s="126"/>
    </row>
    <row r="110" spans="2:21" s="45" customFormat="1" ht="12.65" customHeight="1" x14ac:dyDescent="0.35">
      <c r="B110" s="103">
        <v>9040040019</v>
      </c>
      <c r="C110" s="82"/>
      <c r="D110" s="52" t="s">
        <v>176</v>
      </c>
      <c r="E110" s="52"/>
      <c r="F110" s="52" t="s">
        <v>129</v>
      </c>
      <c r="G110" s="52"/>
      <c r="H110" s="52"/>
      <c r="I110" s="52"/>
      <c r="J110" s="52"/>
      <c r="K110" s="52"/>
      <c r="L110" s="52"/>
      <c r="M110" s="118"/>
      <c r="N110" s="141">
        <f t="shared" ref="N110:N115" si="6">($U$3*Q110)</f>
        <v>0</v>
      </c>
      <c r="O110" s="105">
        <f t="shared" ref="O110:O115" si="7">Q110*(100%-P110)</f>
        <v>12.8142</v>
      </c>
      <c r="P110" s="324">
        <v>0.37</v>
      </c>
      <c r="Q110" s="318">
        <v>20.34</v>
      </c>
      <c r="R110" s="126"/>
    </row>
    <row r="111" spans="2:21" s="45" customFormat="1" ht="12.65" customHeight="1" x14ac:dyDescent="0.35">
      <c r="B111" s="103">
        <v>9040040021</v>
      </c>
      <c r="C111" s="82"/>
      <c r="D111" s="52" t="s">
        <v>176</v>
      </c>
      <c r="E111" s="52"/>
      <c r="F111" s="52" t="s">
        <v>158</v>
      </c>
      <c r="G111" s="52"/>
      <c r="H111" s="52"/>
      <c r="I111" s="52"/>
      <c r="J111" s="52"/>
      <c r="K111" s="52"/>
      <c r="L111" s="52"/>
      <c r="M111" s="118"/>
      <c r="N111" s="141">
        <f t="shared" si="6"/>
        <v>0</v>
      </c>
      <c r="O111" s="105">
        <f t="shared" si="7"/>
        <v>12.8142</v>
      </c>
      <c r="P111" s="324">
        <v>0.37</v>
      </c>
      <c r="Q111" s="105">
        <f>Q110</f>
        <v>20.34</v>
      </c>
      <c r="R111" s="126"/>
    </row>
    <row r="112" spans="2:21" s="45" customFormat="1" ht="12.65" customHeight="1" x14ac:dyDescent="0.35">
      <c r="B112" s="103">
        <v>9040040020</v>
      </c>
      <c r="C112" s="82"/>
      <c r="D112" s="52" t="s">
        <v>176</v>
      </c>
      <c r="E112" s="52"/>
      <c r="F112" s="52" t="s">
        <v>272</v>
      </c>
      <c r="G112" s="52"/>
      <c r="H112" s="52"/>
      <c r="I112" s="52"/>
      <c r="J112" s="52"/>
      <c r="K112" s="52"/>
      <c r="L112" s="52"/>
      <c r="M112" s="118"/>
      <c r="N112" s="141">
        <f t="shared" si="6"/>
        <v>0</v>
      </c>
      <c r="O112" s="105">
        <f t="shared" si="7"/>
        <v>12.8142</v>
      </c>
      <c r="P112" s="324">
        <v>0.37</v>
      </c>
      <c r="Q112" s="105">
        <f>Q110</f>
        <v>20.34</v>
      </c>
      <c r="R112" s="126"/>
    </row>
    <row r="113" spans="2:21" s="45" customFormat="1" ht="12.65" customHeight="1" x14ac:dyDescent="0.35">
      <c r="B113" s="103">
        <v>9040040019</v>
      </c>
      <c r="C113" s="82"/>
      <c r="D113" s="52" t="s">
        <v>59</v>
      </c>
      <c r="E113" s="52"/>
      <c r="F113" s="52" t="s">
        <v>129</v>
      </c>
      <c r="G113" s="52"/>
      <c r="H113" s="52"/>
      <c r="I113" s="52"/>
      <c r="J113" s="52"/>
      <c r="K113" s="52"/>
      <c r="L113" s="52"/>
      <c r="M113" s="52"/>
      <c r="N113" s="141">
        <f t="shared" si="6"/>
        <v>0</v>
      </c>
      <c r="O113" s="105">
        <f t="shared" si="7"/>
        <v>13.3308</v>
      </c>
      <c r="P113" s="324">
        <v>0.37</v>
      </c>
      <c r="Q113" s="318">
        <v>21.16</v>
      </c>
      <c r="R113" s="126"/>
    </row>
    <row r="114" spans="2:21" s="45" customFormat="1" ht="12.65" customHeight="1" x14ac:dyDescent="0.35">
      <c r="B114" s="103">
        <v>9040040024</v>
      </c>
      <c r="C114" s="82"/>
      <c r="D114" s="52" t="s">
        <v>59</v>
      </c>
      <c r="E114" s="52"/>
      <c r="F114" s="52" t="s">
        <v>158</v>
      </c>
      <c r="G114" s="52"/>
      <c r="H114" s="52"/>
      <c r="I114" s="52"/>
      <c r="J114" s="52"/>
      <c r="K114" s="52"/>
      <c r="L114" s="52"/>
      <c r="M114" s="52"/>
      <c r="N114" s="141">
        <f t="shared" si="6"/>
        <v>0</v>
      </c>
      <c r="O114" s="105">
        <f t="shared" si="7"/>
        <v>13.3308</v>
      </c>
      <c r="P114" s="324">
        <v>0.37</v>
      </c>
      <c r="Q114" s="105">
        <f>Q113</f>
        <v>21.16</v>
      </c>
      <c r="R114" s="126"/>
    </row>
    <row r="115" spans="2:21" s="45" customFormat="1" ht="12.65" customHeight="1" x14ac:dyDescent="0.35">
      <c r="B115" s="103">
        <v>9040040023</v>
      </c>
      <c r="C115" s="82"/>
      <c r="D115" s="52" t="s">
        <v>59</v>
      </c>
      <c r="E115" s="52"/>
      <c r="F115" s="52" t="s">
        <v>272</v>
      </c>
      <c r="G115" s="52"/>
      <c r="H115" s="52"/>
      <c r="I115" s="52"/>
      <c r="J115" s="52"/>
      <c r="K115" s="52"/>
      <c r="L115" s="52"/>
      <c r="M115" s="52"/>
      <c r="N115" s="141">
        <f t="shared" si="6"/>
        <v>0</v>
      </c>
      <c r="O115" s="105">
        <f t="shared" si="7"/>
        <v>13.3308</v>
      </c>
      <c r="P115" s="324">
        <v>0.37</v>
      </c>
      <c r="Q115" s="105">
        <f>Q113</f>
        <v>21.16</v>
      </c>
      <c r="R115" s="126"/>
    </row>
    <row r="117" spans="2:21" ht="6.45" customHeight="1" x14ac:dyDescent="0.35"/>
    <row r="118" spans="2:21" ht="6.45" customHeight="1" x14ac:dyDescent="0.35">
      <c r="O118" s="101"/>
      <c r="P118" s="191"/>
      <c r="Q118" s="137"/>
    </row>
    <row r="119" spans="2:21" s="45" customFormat="1" x14ac:dyDescent="0.35">
      <c r="B119" s="17" t="s">
        <v>172</v>
      </c>
      <c r="C119" s="18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24"/>
      <c r="O119" s="101"/>
      <c r="P119" s="191"/>
      <c r="Q119" s="137"/>
      <c r="R119" s="126"/>
      <c r="S119" s="52"/>
      <c r="T119" s="53"/>
      <c r="U119" s="19"/>
    </row>
    <row r="120" spans="2:21" s="45" customFormat="1" x14ac:dyDescent="0.35">
      <c r="B120" s="17"/>
      <c r="C120" s="18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44"/>
      <c r="O120" s="101"/>
      <c r="P120" s="191"/>
      <c r="Q120" s="137"/>
      <c r="R120" s="126"/>
    </row>
    <row r="121" spans="2:21" x14ac:dyDescent="0.35">
      <c r="B121" s="26" t="s">
        <v>27</v>
      </c>
      <c r="C121" s="28"/>
      <c r="D121" s="26" t="s">
        <v>86</v>
      </c>
      <c r="E121" s="28"/>
      <c r="F121" s="39" t="s">
        <v>137</v>
      </c>
      <c r="G121" s="39"/>
      <c r="H121" s="74"/>
      <c r="I121" s="74"/>
      <c r="J121" s="74"/>
      <c r="K121" s="74"/>
      <c r="L121" s="74"/>
      <c r="M121" s="74"/>
      <c r="N121" s="131" t="s">
        <v>77</v>
      </c>
      <c r="O121" s="139" t="s">
        <v>90</v>
      </c>
      <c r="P121" s="43" t="s">
        <v>30</v>
      </c>
      <c r="Q121" s="139" t="s">
        <v>161</v>
      </c>
      <c r="R121" s="108"/>
    </row>
    <row r="122" spans="2:21" s="45" customFormat="1" ht="12.65" customHeight="1" x14ac:dyDescent="0.35">
      <c r="B122" s="103">
        <v>9040040022</v>
      </c>
      <c r="C122" s="82"/>
      <c r="D122" s="82">
        <v>80</v>
      </c>
      <c r="E122" s="52"/>
      <c r="F122" s="52" t="s">
        <v>129</v>
      </c>
      <c r="G122" s="52"/>
      <c r="H122" s="52"/>
      <c r="I122" s="52"/>
      <c r="J122" s="52"/>
      <c r="K122" s="52"/>
      <c r="L122" s="52"/>
      <c r="M122" s="52"/>
      <c r="N122" s="141">
        <f t="shared" ref="N122:N127" si="8">($U$3*Q122)</f>
        <v>0</v>
      </c>
      <c r="O122" s="105">
        <f t="shared" ref="O122:O127" si="9">Q122*(100%-P122)</f>
        <v>11.415600000000001</v>
      </c>
      <c r="P122" s="324">
        <v>0.37</v>
      </c>
      <c r="Q122" s="318">
        <v>18.12</v>
      </c>
      <c r="R122" s="126"/>
    </row>
    <row r="123" spans="2:21" s="45" customFormat="1" ht="12.65" customHeight="1" x14ac:dyDescent="0.35">
      <c r="B123" s="103">
        <v>9040040024</v>
      </c>
      <c r="C123" s="82"/>
      <c r="D123" s="82">
        <v>80</v>
      </c>
      <c r="E123" s="52"/>
      <c r="F123" s="52" t="s">
        <v>158</v>
      </c>
      <c r="G123" s="52"/>
      <c r="H123" s="52"/>
      <c r="I123" s="52"/>
      <c r="J123" s="52"/>
      <c r="K123" s="52"/>
      <c r="L123" s="52"/>
      <c r="M123" s="52"/>
      <c r="N123" s="141">
        <f t="shared" si="8"/>
        <v>0</v>
      </c>
      <c r="O123" s="105">
        <f t="shared" si="9"/>
        <v>11.415600000000001</v>
      </c>
      <c r="P123" s="324">
        <v>0.37</v>
      </c>
      <c r="Q123" s="105">
        <f>Q122</f>
        <v>18.12</v>
      </c>
      <c r="R123" s="126"/>
    </row>
    <row r="124" spans="2:21" s="45" customFormat="1" ht="12.65" customHeight="1" x14ac:dyDescent="0.35">
      <c r="B124" s="103">
        <v>9040040023</v>
      </c>
      <c r="C124" s="82"/>
      <c r="D124" s="82">
        <v>80</v>
      </c>
      <c r="E124" s="52"/>
      <c r="F124" s="52" t="s">
        <v>272</v>
      </c>
      <c r="G124" s="52"/>
      <c r="H124" s="52"/>
      <c r="I124" s="52"/>
      <c r="J124" s="52"/>
      <c r="K124" s="52"/>
      <c r="L124" s="52"/>
      <c r="M124" s="52"/>
      <c r="N124" s="141">
        <f t="shared" si="8"/>
        <v>0</v>
      </c>
      <c r="O124" s="105">
        <f t="shared" si="9"/>
        <v>11.415600000000001</v>
      </c>
      <c r="P124" s="324">
        <v>0.37</v>
      </c>
      <c r="Q124" s="105">
        <f>Q122</f>
        <v>18.12</v>
      </c>
      <c r="R124" s="126"/>
    </row>
    <row r="125" spans="2:21" s="45" customFormat="1" ht="12.65" customHeight="1" x14ac:dyDescent="0.35">
      <c r="B125" s="103">
        <v>9040040010</v>
      </c>
      <c r="C125" s="82"/>
      <c r="D125" s="82">
        <v>100</v>
      </c>
      <c r="E125" s="52"/>
      <c r="F125" s="52" t="s">
        <v>129</v>
      </c>
      <c r="G125" s="52"/>
      <c r="H125" s="52"/>
      <c r="I125" s="52"/>
      <c r="J125" s="52"/>
      <c r="K125" s="52"/>
      <c r="L125" s="52"/>
      <c r="M125" s="52"/>
      <c r="N125" s="141">
        <f t="shared" si="8"/>
        <v>0</v>
      </c>
      <c r="O125" s="105">
        <f t="shared" si="9"/>
        <v>11.780999999999999</v>
      </c>
      <c r="P125" s="324">
        <v>0.37</v>
      </c>
      <c r="Q125" s="318">
        <v>18.7</v>
      </c>
      <c r="R125" s="126"/>
    </row>
    <row r="126" spans="2:21" s="45" customFormat="1" ht="12.65" customHeight="1" x14ac:dyDescent="0.35">
      <c r="B126" s="103">
        <v>9040040012</v>
      </c>
      <c r="C126" s="82"/>
      <c r="D126" s="82">
        <v>100</v>
      </c>
      <c r="E126" s="52"/>
      <c r="F126" s="52" t="s">
        <v>158</v>
      </c>
      <c r="G126" s="52"/>
      <c r="H126" s="52"/>
      <c r="I126" s="52"/>
      <c r="J126" s="52"/>
      <c r="K126" s="52"/>
      <c r="L126" s="52"/>
      <c r="M126" s="52"/>
      <c r="N126" s="141">
        <f t="shared" si="8"/>
        <v>0</v>
      </c>
      <c r="O126" s="105">
        <f t="shared" si="9"/>
        <v>11.780999999999999</v>
      </c>
      <c r="P126" s="324">
        <v>0.37</v>
      </c>
      <c r="Q126" s="105">
        <f>Q125</f>
        <v>18.7</v>
      </c>
      <c r="R126" s="126"/>
    </row>
    <row r="127" spans="2:21" s="45" customFormat="1" ht="12.65" customHeight="1" x14ac:dyDescent="0.35">
      <c r="B127" s="103">
        <v>9040040011</v>
      </c>
      <c r="C127" s="82"/>
      <c r="D127" s="82">
        <v>100</v>
      </c>
      <c r="E127" s="52"/>
      <c r="F127" s="52" t="s">
        <v>272</v>
      </c>
      <c r="G127" s="52"/>
      <c r="H127" s="52"/>
      <c r="I127" s="52"/>
      <c r="J127" s="52"/>
      <c r="K127" s="52"/>
      <c r="L127" s="52"/>
      <c r="M127" s="52"/>
      <c r="N127" s="141">
        <f t="shared" si="8"/>
        <v>0</v>
      </c>
      <c r="O127" s="105">
        <f t="shared" si="9"/>
        <v>11.780999999999999</v>
      </c>
      <c r="P127" s="324">
        <v>0.37</v>
      </c>
      <c r="Q127" s="105">
        <f>Q125</f>
        <v>18.7</v>
      </c>
      <c r="R127" s="126"/>
    </row>
    <row r="128" spans="2:21" ht="12.45" customHeight="1" x14ac:dyDescent="0.35"/>
    <row r="129" spans="2:21" x14ac:dyDescent="0.35">
      <c r="B129" s="17" t="s">
        <v>178</v>
      </c>
    </row>
    <row r="130" spans="2:21" ht="12.45" customHeight="1" x14ac:dyDescent="0.35">
      <c r="N130" s="144"/>
      <c r="P130" s="185"/>
      <c r="Q130" s="184"/>
    </row>
    <row r="131" spans="2:21" x14ac:dyDescent="0.35">
      <c r="B131" s="26" t="s">
        <v>27</v>
      </c>
      <c r="C131" s="28"/>
      <c r="D131" s="26" t="s">
        <v>86</v>
      </c>
      <c r="E131" s="28"/>
      <c r="F131" s="39" t="s">
        <v>137</v>
      </c>
      <c r="G131" s="39"/>
      <c r="H131" s="74"/>
      <c r="I131" s="74"/>
      <c r="J131" s="74"/>
      <c r="K131" s="74"/>
      <c r="L131" s="74"/>
      <c r="M131" s="74"/>
      <c r="N131" s="131" t="s">
        <v>77</v>
      </c>
      <c r="O131" s="139" t="s">
        <v>90</v>
      </c>
      <c r="P131" s="43" t="s">
        <v>30</v>
      </c>
      <c r="Q131" s="139" t="s">
        <v>161</v>
      </c>
      <c r="R131" s="108"/>
    </row>
    <row r="132" spans="2:21" ht="12.65" customHeight="1" x14ac:dyDescent="0.35">
      <c r="B132" s="103">
        <v>9040050016</v>
      </c>
      <c r="C132" s="82" t="s">
        <v>61</v>
      </c>
      <c r="D132" s="82" t="s">
        <v>177</v>
      </c>
      <c r="E132" s="52"/>
      <c r="F132" s="52" t="s">
        <v>129</v>
      </c>
      <c r="G132" s="52"/>
      <c r="H132" s="52"/>
      <c r="I132" s="52"/>
      <c r="J132" s="52"/>
      <c r="K132" s="52"/>
      <c r="L132" s="52"/>
      <c r="M132" s="118"/>
      <c r="N132" s="141">
        <f t="shared" ref="N132:N137" si="10">($U$3*Q132)</f>
        <v>0</v>
      </c>
      <c r="O132" s="105">
        <f t="shared" ref="O132:O137" si="11">Q132*(100%-P132)</f>
        <v>34.801200000000001</v>
      </c>
      <c r="P132" s="324">
        <v>0.37</v>
      </c>
      <c r="Q132" s="318">
        <v>55.24</v>
      </c>
    </row>
    <row r="133" spans="2:21" ht="12.65" customHeight="1" x14ac:dyDescent="0.35">
      <c r="B133" s="103">
        <v>9040050018</v>
      </c>
      <c r="C133" s="82" t="s">
        <v>61</v>
      </c>
      <c r="D133" s="82" t="s">
        <v>177</v>
      </c>
      <c r="E133" s="52"/>
      <c r="F133" s="52" t="s">
        <v>158</v>
      </c>
      <c r="G133" s="52"/>
      <c r="H133" s="52"/>
      <c r="I133" s="52"/>
      <c r="J133" s="52"/>
      <c r="K133" s="52"/>
      <c r="L133" s="52"/>
      <c r="M133" s="118"/>
      <c r="N133" s="141">
        <f t="shared" si="10"/>
        <v>0</v>
      </c>
      <c r="O133" s="105">
        <f t="shared" si="11"/>
        <v>34.801200000000001</v>
      </c>
      <c r="P133" s="324">
        <v>0.37</v>
      </c>
      <c r="Q133" s="105">
        <f>Q132</f>
        <v>55.24</v>
      </c>
    </row>
    <row r="134" spans="2:21" ht="12.65" customHeight="1" x14ac:dyDescent="0.35">
      <c r="B134" s="103">
        <v>9040050017</v>
      </c>
      <c r="C134" s="82" t="s">
        <v>61</v>
      </c>
      <c r="D134" s="82" t="s">
        <v>177</v>
      </c>
      <c r="E134" s="52"/>
      <c r="F134" s="52" t="s">
        <v>272</v>
      </c>
      <c r="G134" s="52"/>
      <c r="H134" s="52"/>
      <c r="I134" s="52"/>
      <c r="J134" s="52"/>
      <c r="K134" s="52"/>
      <c r="L134" s="52"/>
      <c r="M134" s="118"/>
      <c r="N134" s="141">
        <f t="shared" si="10"/>
        <v>0</v>
      </c>
      <c r="O134" s="105">
        <f t="shared" si="11"/>
        <v>34.801200000000001</v>
      </c>
      <c r="P134" s="324">
        <v>0.37</v>
      </c>
      <c r="Q134" s="105">
        <f>Q132</f>
        <v>55.24</v>
      </c>
    </row>
    <row r="135" spans="2:21" s="45" customFormat="1" ht="12.65" customHeight="1" x14ac:dyDescent="0.35">
      <c r="B135" s="103">
        <v>9040050013</v>
      </c>
      <c r="C135" s="82" t="s">
        <v>156</v>
      </c>
      <c r="D135" s="82" t="s">
        <v>63</v>
      </c>
      <c r="E135" s="52"/>
      <c r="F135" s="52" t="s">
        <v>129</v>
      </c>
      <c r="G135" s="52"/>
      <c r="H135" s="52"/>
      <c r="I135" s="52"/>
      <c r="J135" s="52"/>
      <c r="K135" s="52"/>
      <c r="L135" s="52"/>
      <c r="M135" s="118"/>
      <c r="N135" s="141">
        <f t="shared" si="10"/>
        <v>0</v>
      </c>
      <c r="O135" s="105">
        <f t="shared" si="11"/>
        <v>35.349299999999999</v>
      </c>
      <c r="P135" s="324">
        <v>0.37</v>
      </c>
      <c r="Q135" s="318">
        <v>56.11</v>
      </c>
      <c r="R135" s="126"/>
      <c r="S135" s="52"/>
      <c r="T135" s="53"/>
      <c r="U135" s="19"/>
    </row>
    <row r="136" spans="2:21" s="45" customFormat="1" ht="12.65" customHeight="1" x14ac:dyDescent="0.35">
      <c r="B136" s="103">
        <v>9040050015</v>
      </c>
      <c r="C136" s="82" t="s">
        <v>156</v>
      </c>
      <c r="D136" s="82" t="s">
        <v>63</v>
      </c>
      <c r="E136" s="52"/>
      <c r="F136" s="52" t="s">
        <v>158</v>
      </c>
      <c r="G136" s="52"/>
      <c r="H136" s="52"/>
      <c r="I136" s="52"/>
      <c r="J136" s="52"/>
      <c r="K136" s="52"/>
      <c r="L136" s="52"/>
      <c r="M136" s="118"/>
      <c r="N136" s="141">
        <f t="shared" si="10"/>
        <v>0</v>
      </c>
      <c r="O136" s="105">
        <f t="shared" si="11"/>
        <v>35.349299999999999</v>
      </c>
      <c r="P136" s="324">
        <v>0.37</v>
      </c>
      <c r="Q136" s="105">
        <f>Q135</f>
        <v>56.11</v>
      </c>
      <c r="R136" s="126"/>
      <c r="S136" s="52"/>
      <c r="T136" s="53"/>
      <c r="U136" s="19"/>
    </row>
    <row r="137" spans="2:21" s="45" customFormat="1" ht="12.65" customHeight="1" x14ac:dyDescent="0.35">
      <c r="B137" s="103">
        <v>9040050014</v>
      </c>
      <c r="C137" s="82" t="s">
        <v>156</v>
      </c>
      <c r="D137" s="82" t="s">
        <v>63</v>
      </c>
      <c r="E137" s="52"/>
      <c r="F137" s="52" t="s">
        <v>272</v>
      </c>
      <c r="G137" s="52"/>
      <c r="H137" s="52"/>
      <c r="I137" s="52"/>
      <c r="J137" s="52"/>
      <c r="K137" s="52"/>
      <c r="L137" s="52"/>
      <c r="M137" s="118"/>
      <c r="N137" s="141">
        <f t="shared" si="10"/>
        <v>0</v>
      </c>
      <c r="O137" s="105">
        <f t="shared" si="11"/>
        <v>35.349299999999999</v>
      </c>
      <c r="P137" s="324">
        <v>0.37</v>
      </c>
      <c r="Q137" s="105">
        <f>Q135</f>
        <v>56.11</v>
      </c>
      <c r="R137" s="126"/>
      <c r="S137" s="52"/>
      <c r="T137" s="53"/>
      <c r="U137" s="19"/>
    </row>
    <row r="138" spans="2:21" ht="12.45" customHeight="1" x14ac:dyDescent="0.35">
      <c r="B138" s="82"/>
      <c r="C138" s="52"/>
      <c r="D138" s="82"/>
      <c r="E138" s="52"/>
      <c r="F138" s="52"/>
      <c r="G138" s="52"/>
      <c r="H138" s="52"/>
      <c r="I138" s="52"/>
      <c r="J138" s="52"/>
      <c r="K138" s="52"/>
      <c r="L138" s="52"/>
      <c r="M138" s="52"/>
      <c r="N138" s="147"/>
      <c r="O138" s="105"/>
      <c r="P138" s="94"/>
      <c r="Q138" s="135"/>
    </row>
    <row r="139" spans="2:21" x14ac:dyDescent="0.35">
      <c r="B139" s="17" t="s">
        <v>682</v>
      </c>
    </row>
    <row r="140" spans="2:21" ht="12.45" customHeight="1" x14ac:dyDescent="0.35">
      <c r="N140" s="144"/>
    </row>
    <row r="141" spans="2:21" x14ac:dyDescent="0.35">
      <c r="B141" s="26" t="s">
        <v>27</v>
      </c>
      <c r="C141" s="28"/>
      <c r="D141" s="26" t="s">
        <v>86</v>
      </c>
      <c r="E141" s="28"/>
      <c r="F141" s="39" t="s">
        <v>137</v>
      </c>
      <c r="G141" s="39"/>
      <c r="H141" s="74"/>
      <c r="I141" s="74"/>
      <c r="J141" s="74"/>
      <c r="K141" s="74"/>
      <c r="L141" s="74"/>
      <c r="M141" s="74"/>
      <c r="N141" s="131" t="s">
        <v>77</v>
      </c>
      <c r="O141" s="139" t="s">
        <v>90</v>
      </c>
      <c r="P141" s="43" t="s">
        <v>30</v>
      </c>
      <c r="Q141" s="139" t="s">
        <v>161</v>
      </c>
      <c r="R141" s="108"/>
    </row>
    <row r="142" spans="2:21" s="45" customFormat="1" ht="12.65" customHeight="1" x14ac:dyDescent="0.35">
      <c r="B142" s="103">
        <v>9040050034</v>
      </c>
      <c r="C142" s="82"/>
      <c r="D142" s="82">
        <v>80</v>
      </c>
      <c r="E142" s="52"/>
      <c r="F142" s="52" t="s">
        <v>129</v>
      </c>
      <c r="G142" s="52"/>
      <c r="H142" s="52"/>
      <c r="I142" s="52"/>
      <c r="J142" s="52"/>
      <c r="K142" s="52"/>
      <c r="L142" s="52"/>
      <c r="M142" s="118"/>
      <c r="N142" s="141">
        <f t="shared" ref="N142:N147" si="12">($U$3*Q142)</f>
        <v>0</v>
      </c>
      <c r="O142" s="105">
        <f t="shared" ref="O142:O147" si="13">Q142*(100%-P142)</f>
        <v>4.3784999999999998</v>
      </c>
      <c r="P142" s="324">
        <v>0.37</v>
      </c>
      <c r="Q142" s="318">
        <v>6.95</v>
      </c>
      <c r="R142" s="126"/>
      <c r="S142" s="52"/>
      <c r="T142" s="53"/>
      <c r="U142" s="19"/>
    </row>
    <row r="143" spans="2:21" s="45" customFormat="1" ht="12.65" customHeight="1" x14ac:dyDescent="0.35">
      <c r="B143" s="103">
        <v>9040050036</v>
      </c>
      <c r="C143" s="82"/>
      <c r="D143" s="82">
        <v>80</v>
      </c>
      <c r="E143" s="52"/>
      <c r="F143" s="52" t="s">
        <v>158</v>
      </c>
      <c r="G143" s="52"/>
      <c r="H143" s="52"/>
      <c r="I143" s="52"/>
      <c r="J143" s="52"/>
      <c r="K143" s="52"/>
      <c r="L143" s="52"/>
      <c r="M143" s="118"/>
      <c r="N143" s="141">
        <f t="shared" si="12"/>
        <v>0</v>
      </c>
      <c r="O143" s="105">
        <f t="shared" si="13"/>
        <v>4.3784999999999998</v>
      </c>
      <c r="P143" s="324">
        <v>0.37</v>
      </c>
      <c r="Q143" s="105">
        <f>Q142</f>
        <v>6.95</v>
      </c>
      <c r="R143" s="126"/>
      <c r="S143" s="52"/>
      <c r="T143" s="53"/>
      <c r="U143" s="19"/>
    </row>
    <row r="144" spans="2:21" s="45" customFormat="1" ht="12.65" customHeight="1" x14ac:dyDescent="0.35">
      <c r="B144" s="103">
        <v>9040050035</v>
      </c>
      <c r="C144" s="82"/>
      <c r="D144" s="82">
        <v>80</v>
      </c>
      <c r="E144" s="52"/>
      <c r="F144" s="52" t="s">
        <v>272</v>
      </c>
      <c r="G144" s="52"/>
      <c r="H144" s="52"/>
      <c r="I144" s="52"/>
      <c r="J144" s="52"/>
      <c r="K144" s="52"/>
      <c r="L144" s="52"/>
      <c r="M144" s="118"/>
      <c r="N144" s="141">
        <f t="shared" si="12"/>
        <v>0</v>
      </c>
      <c r="O144" s="105">
        <f t="shared" si="13"/>
        <v>4.3784999999999998</v>
      </c>
      <c r="P144" s="324">
        <v>0.37</v>
      </c>
      <c r="Q144" s="105">
        <f>Q142</f>
        <v>6.95</v>
      </c>
      <c r="R144" s="126"/>
      <c r="S144" s="52"/>
      <c r="T144" s="53"/>
      <c r="U144" s="19"/>
    </row>
    <row r="145" spans="2:18" s="45" customFormat="1" ht="12.65" customHeight="1" x14ac:dyDescent="0.35">
      <c r="B145" s="103">
        <v>9040050037</v>
      </c>
      <c r="C145" s="82"/>
      <c r="D145" s="82">
        <v>100</v>
      </c>
      <c r="E145" s="52"/>
      <c r="F145" s="52" t="s">
        <v>129</v>
      </c>
      <c r="G145" s="52"/>
      <c r="H145" s="52"/>
      <c r="I145" s="52"/>
      <c r="J145" s="52"/>
      <c r="K145" s="52"/>
      <c r="L145" s="52"/>
      <c r="M145" s="118"/>
      <c r="N145" s="141">
        <f t="shared" si="12"/>
        <v>0</v>
      </c>
      <c r="O145" s="105">
        <f t="shared" si="13"/>
        <v>4.6619999999999999</v>
      </c>
      <c r="P145" s="324">
        <v>0.37</v>
      </c>
      <c r="Q145" s="318">
        <v>7.4</v>
      </c>
      <c r="R145" s="126"/>
    </row>
    <row r="146" spans="2:18" s="45" customFormat="1" ht="12.65" customHeight="1" x14ac:dyDescent="0.35">
      <c r="B146" s="103">
        <v>9040050039</v>
      </c>
      <c r="C146" s="82"/>
      <c r="D146" s="82">
        <v>100</v>
      </c>
      <c r="E146" s="52"/>
      <c r="F146" s="52" t="s">
        <v>158</v>
      </c>
      <c r="G146" s="52"/>
      <c r="H146" s="52"/>
      <c r="I146" s="52"/>
      <c r="J146" s="52"/>
      <c r="K146" s="52"/>
      <c r="L146" s="52"/>
      <c r="M146" s="118"/>
      <c r="N146" s="141">
        <f t="shared" si="12"/>
        <v>0</v>
      </c>
      <c r="O146" s="105">
        <f t="shared" si="13"/>
        <v>4.6619999999999999</v>
      </c>
      <c r="P146" s="324">
        <v>0.37</v>
      </c>
      <c r="Q146" s="105">
        <f>Q145</f>
        <v>7.4</v>
      </c>
      <c r="R146" s="126"/>
    </row>
    <row r="147" spans="2:18" s="45" customFormat="1" ht="12.65" customHeight="1" x14ac:dyDescent="0.35">
      <c r="B147" s="103">
        <v>9040050038</v>
      </c>
      <c r="C147" s="82"/>
      <c r="D147" s="82">
        <v>100</v>
      </c>
      <c r="E147" s="52"/>
      <c r="F147" s="52" t="s">
        <v>272</v>
      </c>
      <c r="G147" s="52"/>
      <c r="H147" s="52"/>
      <c r="I147" s="52"/>
      <c r="J147" s="52"/>
      <c r="K147" s="52"/>
      <c r="L147" s="52"/>
      <c r="M147" s="118"/>
      <c r="N147" s="141">
        <f t="shared" si="12"/>
        <v>0</v>
      </c>
      <c r="O147" s="105">
        <f t="shared" si="13"/>
        <v>4.6619999999999999</v>
      </c>
      <c r="P147" s="324">
        <v>0.37</v>
      </c>
      <c r="Q147" s="105">
        <f>Q145</f>
        <v>7.4</v>
      </c>
      <c r="R147" s="126"/>
    </row>
    <row r="148" spans="2:18" s="45" customFormat="1" ht="11.6" x14ac:dyDescent="0.35">
      <c r="B148" s="82"/>
      <c r="C148" s="82"/>
      <c r="D148" s="82"/>
      <c r="E148" s="52"/>
      <c r="F148" s="26"/>
      <c r="G148" s="52"/>
      <c r="H148" s="52"/>
      <c r="I148" s="52"/>
      <c r="J148" s="52"/>
      <c r="K148" s="52"/>
      <c r="L148" s="52"/>
      <c r="M148" s="52"/>
      <c r="N148" s="147"/>
      <c r="O148" s="105"/>
      <c r="P148" s="94"/>
      <c r="Q148" s="135"/>
      <c r="R148" s="126"/>
    </row>
    <row r="149" spans="2:18" s="45" customFormat="1" ht="11.6" x14ac:dyDescent="0.35">
      <c r="B149" s="82"/>
      <c r="C149" s="82"/>
      <c r="D149" s="82"/>
      <c r="E149" s="52"/>
      <c r="F149" s="26"/>
      <c r="G149" s="52"/>
      <c r="H149" s="52"/>
      <c r="I149" s="52"/>
      <c r="J149" s="52"/>
      <c r="K149" s="52"/>
      <c r="L149" s="52"/>
      <c r="M149" s="52"/>
      <c r="N149" s="147"/>
      <c r="O149" s="105"/>
      <c r="P149" s="94"/>
      <c r="Q149" s="135"/>
      <c r="R149" s="126"/>
    </row>
    <row r="150" spans="2:18" s="45" customFormat="1" ht="11.6" x14ac:dyDescent="0.35">
      <c r="B150" s="82"/>
      <c r="C150" s="82"/>
      <c r="D150" s="82"/>
      <c r="E150" s="52"/>
      <c r="F150" s="26"/>
      <c r="G150" s="52"/>
      <c r="H150" s="52"/>
      <c r="I150" s="52"/>
      <c r="J150" s="52"/>
      <c r="K150" s="52"/>
      <c r="L150" s="52"/>
      <c r="M150" s="52"/>
      <c r="N150" s="147"/>
      <c r="O150" s="105"/>
      <c r="P150" s="94"/>
      <c r="Q150" s="135"/>
      <c r="R150" s="126"/>
    </row>
    <row r="151" spans="2:18" s="45" customFormat="1" ht="11.6" x14ac:dyDescent="0.35">
      <c r="B151" s="82"/>
      <c r="C151" s="82"/>
      <c r="D151" s="82"/>
      <c r="E151" s="52"/>
      <c r="F151" s="26"/>
      <c r="G151" s="52"/>
      <c r="H151" s="52"/>
      <c r="I151" s="52"/>
      <c r="J151" s="52"/>
      <c r="K151" s="52"/>
      <c r="L151" s="52"/>
      <c r="M151" s="52"/>
      <c r="N151" s="147"/>
      <c r="O151" s="105"/>
      <c r="P151" s="94"/>
      <c r="Q151" s="135"/>
      <c r="R151" s="126"/>
    </row>
    <row r="152" spans="2:18" s="117" customFormat="1" ht="20.25" customHeight="1" x14ac:dyDescent="0.35">
      <c r="B152" s="82"/>
      <c r="C152" s="82"/>
      <c r="D152" s="82"/>
      <c r="E152" s="52"/>
      <c r="F152" s="52"/>
      <c r="G152" s="52"/>
      <c r="H152" s="52"/>
      <c r="I152" s="52"/>
      <c r="J152" s="52"/>
      <c r="K152" s="52"/>
      <c r="L152" s="52"/>
      <c r="M152" s="52"/>
      <c r="N152" s="147"/>
      <c r="O152" s="105"/>
      <c r="P152" s="94"/>
      <c r="Q152" s="135"/>
      <c r="R152" s="126"/>
    </row>
    <row r="153" spans="2:18" s="117" customFormat="1" x14ac:dyDescent="0.35">
      <c r="B153" s="17" t="s">
        <v>683</v>
      </c>
      <c r="C153" s="18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24"/>
      <c r="P153" s="193"/>
      <c r="Q153" s="175"/>
      <c r="R153" s="126"/>
    </row>
    <row r="154" spans="2:18" ht="12.45" customHeight="1" x14ac:dyDescent="0.35">
      <c r="N154" s="144"/>
    </row>
    <row r="155" spans="2:18" ht="12.45" customHeight="1" x14ac:dyDescent="0.35">
      <c r="B155" s="26" t="s">
        <v>27</v>
      </c>
      <c r="C155" s="28"/>
      <c r="D155" s="26" t="s">
        <v>86</v>
      </c>
      <c r="E155" s="28"/>
      <c r="F155" s="39" t="s">
        <v>137</v>
      </c>
      <c r="G155" s="39"/>
      <c r="H155" s="74"/>
      <c r="I155" s="74"/>
      <c r="J155" s="74"/>
      <c r="K155" s="74"/>
      <c r="L155" s="74"/>
      <c r="M155" s="74"/>
      <c r="N155" s="131" t="s">
        <v>77</v>
      </c>
      <c r="O155" s="139" t="s">
        <v>90</v>
      </c>
      <c r="P155" s="43" t="s">
        <v>30</v>
      </c>
      <c r="Q155" s="139" t="s">
        <v>161</v>
      </c>
      <c r="R155" s="108"/>
    </row>
    <row r="156" spans="2:18" ht="12.65" customHeight="1" x14ac:dyDescent="0.35">
      <c r="B156" s="103">
        <v>9040050007</v>
      </c>
      <c r="C156" s="82"/>
      <c r="D156" s="82">
        <v>100</v>
      </c>
      <c r="E156" s="52"/>
      <c r="F156" s="52" t="s">
        <v>129</v>
      </c>
      <c r="G156" s="88"/>
      <c r="H156" s="88"/>
      <c r="I156" s="88"/>
      <c r="J156" s="88"/>
      <c r="K156" s="88"/>
      <c r="L156" s="88"/>
      <c r="M156" s="90"/>
      <c r="N156" s="141">
        <f>($U$3*Q156)</f>
        <v>0</v>
      </c>
      <c r="O156" s="105">
        <f>Q156*(100%-P156)</f>
        <v>32.407199999999996</v>
      </c>
      <c r="P156" s="324">
        <v>0.37</v>
      </c>
      <c r="Q156" s="318">
        <v>51.44</v>
      </c>
    </row>
    <row r="157" spans="2:18" ht="12.65" customHeight="1" x14ac:dyDescent="0.35">
      <c r="B157" s="103">
        <v>9040050009</v>
      </c>
      <c r="C157" s="82"/>
      <c r="D157" s="82">
        <v>100</v>
      </c>
      <c r="E157" s="52"/>
      <c r="F157" s="52" t="s">
        <v>158</v>
      </c>
      <c r="G157" s="88"/>
      <c r="H157" s="88"/>
      <c r="I157" s="88"/>
      <c r="J157" s="88"/>
      <c r="K157" s="88"/>
      <c r="L157" s="88"/>
      <c r="M157" s="90"/>
      <c r="N157" s="141">
        <f>($U$3*Q157)</f>
        <v>0</v>
      </c>
      <c r="O157" s="105">
        <f>Q157*(100%-P157)</f>
        <v>32.407199999999996</v>
      </c>
      <c r="P157" s="324">
        <v>0.37</v>
      </c>
      <c r="Q157" s="105">
        <f>Q156</f>
        <v>51.44</v>
      </c>
    </row>
    <row r="158" spans="2:18" ht="12.65" customHeight="1" x14ac:dyDescent="0.35">
      <c r="B158" s="103">
        <v>9040050008</v>
      </c>
      <c r="C158" s="82"/>
      <c r="D158" s="82">
        <v>100</v>
      </c>
      <c r="E158" s="52"/>
      <c r="F158" s="52" t="s">
        <v>272</v>
      </c>
      <c r="G158" s="52"/>
      <c r="H158" s="52"/>
      <c r="I158" s="52"/>
      <c r="J158" s="52"/>
      <c r="K158" s="52"/>
      <c r="L158" s="52"/>
      <c r="M158" s="118"/>
      <c r="N158" s="141">
        <f>($U$3*Q158)</f>
        <v>0</v>
      </c>
      <c r="O158" s="105">
        <f>Q158*(100%-P158)</f>
        <v>32.407199999999996</v>
      </c>
      <c r="P158" s="324">
        <v>0.37</v>
      </c>
      <c r="Q158" s="105">
        <f>Q156</f>
        <v>51.44</v>
      </c>
    </row>
    <row r="159" spans="2:18" x14ac:dyDescent="0.35">
      <c r="B159" s="82"/>
      <c r="C159" s="82"/>
      <c r="D159" s="82"/>
      <c r="E159" s="52"/>
      <c r="F159" s="26"/>
      <c r="G159" s="88"/>
      <c r="H159" s="88"/>
      <c r="I159" s="88"/>
      <c r="J159" s="88"/>
      <c r="K159" s="88"/>
      <c r="L159" s="88"/>
      <c r="M159" s="88"/>
      <c r="N159" s="147"/>
      <c r="O159" s="105"/>
      <c r="P159" s="94"/>
      <c r="Q159" s="135"/>
    </row>
    <row r="160" spans="2:18" s="45" customFormat="1" ht="17.7" customHeight="1" x14ac:dyDescent="0.35">
      <c r="B160" s="82"/>
      <c r="C160" s="82"/>
      <c r="D160" s="82"/>
      <c r="E160" s="52"/>
      <c r="F160" s="52"/>
      <c r="G160" s="52"/>
      <c r="H160" s="52"/>
      <c r="I160" s="52"/>
      <c r="J160" s="52"/>
      <c r="K160" s="52"/>
      <c r="L160" s="52"/>
      <c r="M160" s="52"/>
      <c r="N160" s="147"/>
      <c r="O160" s="101"/>
      <c r="P160" s="191"/>
      <c r="Q160" s="137"/>
      <c r="R160" s="126"/>
    </row>
    <row r="161" spans="2:21" s="45" customFormat="1" x14ac:dyDescent="0.35">
      <c r="B161" s="17" t="s">
        <v>684</v>
      </c>
      <c r="C161" s="18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24"/>
      <c r="O161" s="117"/>
      <c r="P161" s="174"/>
      <c r="Q161" s="175"/>
      <c r="R161" s="126"/>
    </row>
    <row r="162" spans="2:21" s="117" customFormat="1" ht="12.45" customHeight="1" x14ac:dyDescent="0.35">
      <c r="B162" s="17"/>
      <c r="C162" s="18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44"/>
      <c r="P162" s="193"/>
      <c r="Q162" s="175"/>
      <c r="R162" s="126"/>
    </row>
    <row r="163" spans="2:21" ht="12.45" customHeight="1" x14ac:dyDescent="0.35">
      <c r="B163" s="82" t="s">
        <v>27</v>
      </c>
      <c r="C163" s="82"/>
      <c r="D163" s="52" t="s">
        <v>86</v>
      </c>
      <c r="E163" s="52"/>
      <c r="F163" s="39" t="s">
        <v>137</v>
      </c>
      <c r="G163" s="52"/>
      <c r="H163" s="52"/>
      <c r="I163" s="52"/>
      <c r="J163" s="52"/>
      <c r="K163" s="52"/>
      <c r="L163" s="52"/>
      <c r="M163" s="52"/>
      <c r="N163" s="147" t="s">
        <v>77</v>
      </c>
      <c r="O163" s="139" t="s">
        <v>90</v>
      </c>
      <c r="P163" s="43" t="s">
        <v>30</v>
      </c>
      <c r="Q163" s="139" t="s">
        <v>161</v>
      </c>
      <c r="R163" s="108"/>
    </row>
    <row r="164" spans="2:21" ht="12.65" customHeight="1" x14ac:dyDescent="0.35">
      <c r="B164" s="103">
        <v>9040050010</v>
      </c>
      <c r="C164" s="82"/>
      <c r="D164" s="82">
        <v>100</v>
      </c>
      <c r="E164" s="52"/>
      <c r="F164" s="52" t="s">
        <v>129</v>
      </c>
      <c r="G164" s="52"/>
      <c r="H164" s="52"/>
      <c r="I164" s="52"/>
      <c r="J164" s="52"/>
      <c r="K164" s="52"/>
      <c r="L164" s="52"/>
      <c r="M164" s="118"/>
      <c r="N164" s="141">
        <f>($U$3*Q164)</f>
        <v>0</v>
      </c>
      <c r="O164" s="105">
        <f>Q164*(100%-P164)</f>
        <v>69.230699999999999</v>
      </c>
      <c r="P164" s="324">
        <v>0.37</v>
      </c>
      <c r="Q164" s="318">
        <v>109.89</v>
      </c>
    </row>
    <row r="165" spans="2:21" ht="12.65" customHeight="1" x14ac:dyDescent="0.35">
      <c r="B165" s="103">
        <v>9040050012</v>
      </c>
      <c r="C165" s="82"/>
      <c r="D165" s="82">
        <v>100</v>
      </c>
      <c r="E165" s="52"/>
      <c r="F165" s="52" t="s">
        <v>158</v>
      </c>
      <c r="G165" s="52"/>
      <c r="H165" s="52"/>
      <c r="I165" s="52"/>
      <c r="J165" s="52"/>
      <c r="K165" s="52"/>
      <c r="L165" s="52"/>
      <c r="M165" s="118"/>
      <c r="N165" s="141">
        <f>($U$3*Q165)</f>
        <v>0</v>
      </c>
      <c r="O165" s="105">
        <f>Q165*(100%-P165)</f>
        <v>69.230699999999999</v>
      </c>
      <c r="P165" s="324">
        <v>0.37</v>
      </c>
      <c r="Q165" s="105">
        <f>Q164</f>
        <v>109.89</v>
      </c>
    </row>
    <row r="166" spans="2:21" ht="12.65" customHeight="1" x14ac:dyDescent="0.35">
      <c r="B166" s="87">
        <v>9040050011</v>
      </c>
      <c r="C166" s="100"/>
      <c r="D166" s="100">
        <v>100</v>
      </c>
      <c r="E166" s="88"/>
      <c r="F166" s="88" t="s">
        <v>272</v>
      </c>
      <c r="G166" s="88"/>
      <c r="H166" s="88"/>
      <c r="I166" s="88"/>
      <c r="J166" s="88"/>
      <c r="K166" s="88"/>
      <c r="L166" s="88"/>
      <c r="M166" s="90"/>
      <c r="N166" s="145">
        <f>($U$3*Q166)</f>
        <v>0</v>
      </c>
      <c r="O166" s="105">
        <f>Q166*(100%-P166)</f>
        <v>69.230699999999999</v>
      </c>
      <c r="P166" s="324">
        <v>0.37</v>
      </c>
      <c r="Q166" s="105">
        <f>Q164</f>
        <v>109.89</v>
      </c>
    </row>
    <row r="167" spans="2:21" x14ac:dyDescent="0.35">
      <c r="O167" s="101"/>
      <c r="P167" s="191"/>
      <c r="Q167" s="137"/>
    </row>
    <row r="168" spans="2:21" x14ac:dyDescent="0.35">
      <c r="O168" s="101"/>
      <c r="P168" s="191"/>
      <c r="Q168" s="137"/>
    </row>
    <row r="169" spans="2:21" s="45" customFormat="1" x14ac:dyDescent="0.35">
      <c r="B169" s="17" t="s">
        <v>179</v>
      </c>
      <c r="C169" s="18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24"/>
      <c r="O169" s="101"/>
      <c r="P169" s="191"/>
      <c r="Q169" s="137"/>
      <c r="R169" s="126"/>
      <c r="S169" s="52"/>
      <c r="T169" s="53"/>
      <c r="U169" s="19"/>
    </row>
    <row r="170" spans="2:21" s="45" customFormat="1" x14ac:dyDescent="0.35">
      <c r="B170" s="17"/>
      <c r="C170" s="18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44"/>
      <c r="O170" s="101"/>
      <c r="P170" s="191"/>
      <c r="Q170" s="137"/>
      <c r="R170" s="126"/>
    </row>
    <row r="171" spans="2:21" ht="12.45" customHeight="1" x14ac:dyDescent="0.35">
      <c r="B171" s="82" t="s">
        <v>27</v>
      </c>
      <c r="C171" s="82"/>
      <c r="D171" s="52" t="s">
        <v>86</v>
      </c>
      <c r="E171" s="52"/>
      <c r="F171" s="39" t="s">
        <v>137</v>
      </c>
      <c r="G171" s="52"/>
      <c r="H171" s="52"/>
      <c r="I171" s="52"/>
      <c r="J171" s="52"/>
      <c r="K171" s="52"/>
      <c r="L171" s="52"/>
      <c r="M171" s="52"/>
      <c r="N171" s="147" t="s">
        <v>77</v>
      </c>
      <c r="O171" s="139" t="s">
        <v>90</v>
      </c>
      <c r="P171" s="43" t="s">
        <v>30</v>
      </c>
      <c r="Q171" s="139" t="s">
        <v>161</v>
      </c>
      <c r="R171" s="108"/>
    </row>
    <row r="172" spans="2:21" ht="12.65" customHeight="1" x14ac:dyDescent="0.35">
      <c r="B172" s="103">
        <v>9040050025</v>
      </c>
      <c r="C172" s="82" t="s">
        <v>68</v>
      </c>
      <c r="D172" s="82" t="s">
        <v>180</v>
      </c>
      <c r="E172" s="52"/>
      <c r="F172" s="52" t="s">
        <v>129</v>
      </c>
      <c r="G172" s="52"/>
      <c r="H172" s="52"/>
      <c r="I172" s="52"/>
      <c r="J172" s="52"/>
      <c r="K172" s="52"/>
      <c r="L172" s="52"/>
      <c r="M172" s="118"/>
      <c r="N172" s="141">
        <f t="shared" ref="N172:N180" si="14">($U$3*Q172)</f>
        <v>0</v>
      </c>
      <c r="O172" s="105">
        <f t="shared" ref="O172:O180" si="15">Q172*(100%-P172)</f>
        <v>3.3893999999999997</v>
      </c>
      <c r="P172" s="324">
        <v>0.37</v>
      </c>
      <c r="Q172" s="318">
        <v>5.38</v>
      </c>
    </row>
    <row r="173" spans="2:21" ht="12.65" customHeight="1" x14ac:dyDescent="0.35">
      <c r="B173" s="103">
        <v>9040050027</v>
      </c>
      <c r="C173" s="82" t="s">
        <v>68</v>
      </c>
      <c r="D173" s="82" t="s">
        <v>180</v>
      </c>
      <c r="E173" s="52"/>
      <c r="F173" s="52" t="s">
        <v>158</v>
      </c>
      <c r="G173" s="52"/>
      <c r="H173" s="52"/>
      <c r="I173" s="52"/>
      <c r="J173" s="52"/>
      <c r="K173" s="52"/>
      <c r="L173" s="52"/>
      <c r="M173" s="118"/>
      <c r="N173" s="141">
        <f t="shared" si="14"/>
        <v>0</v>
      </c>
      <c r="O173" s="105">
        <f t="shared" si="15"/>
        <v>3.3893999999999997</v>
      </c>
      <c r="P173" s="324">
        <v>0.37</v>
      </c>
      <c r="Q173" s="105">
        <f>Q172</f>
        <v>5.38</v>
      </c>
    </row>
    <row r="174" spans="2:21" ht="12.65" customHeight="1" x14ac:dyDescent="0.35">
      <c r="B174" s="103">
        <v>9040050026</v>
      </c>
      <c r="C174" s="82" t="s">
        <v>68</v>
      </c>
      <c r="D174" s="82" t="s">
        <v>180</v>
      </c>
      <c r="E174" s="52"/>
      <c r="F174" s="52" t="s">
        <v>272</v>
      </c>
      <c r="G174" s="52"/>
      <c r="H174" s="52"/>
      <c r="I174" s="52"/>
      <c r="J174" s="52"/>
      <c r="K174" s="52"/>
      <c r="L174" s="52"/>
      <c r="M174" s="118"/>
      <c r="N174" s="141">
        <f t="shared" si="14"/>
        <v>0</v>
      </c>
      <c r="O174" s="105">
        <f t="shared" si="15"/>
        <v>3.3893999999999997</v>
      </c>
      <c r="P174" s="324">
        <v>0.37</v>
      </c>
      <c r="Q174" s="105">
        <f>Q172</f>
        <v>5.38</v>
      </c>
    </row>
    <row r="175" spans="2:21" ht="12.65" customHeight="1" x14ac:dyDescent="0.35">
      <c r="B175" s="103">
        <v>9040050019</v>
      </c>
      <c r="C175" s="82"/>
      <c r="D175" s="82" t="s">
        <v>181</v>
      </c>
      <c r="E175" s="52"/>
      <c r="F175" s="52" t="s">
        <v>129</v>
      </c>
      <c r="G175" s="52"/>
      <c r="H175" s="52"/>
      <c r="I175" s="52"/>
      <c r="J175" s="52"/>
      <c r="K175" s="52"/>
      <c r="L175" s="52"/>
      <c r="M175" s="118"/>
      <c r="N175" s="141">
        <f t="shared" si="14"/>
        <v>0</v>
      </c>
      <c r="O175" s="105">
        <f t="shared" si="15"/>
        <v>3.5343000000000004</v>
      </c>
      <c r="P175" s="324">
        <v>0.37</v>
      </c>
      <c r="Q175" s="318">
        <v>5.61</v>
      </c>
    </row>
    <row r="176" spans="2:21" ht="12.65" customHeight="1" x14ac:dyDescent="0.35">
      <c r="B176" s="103">
        <v>9040050021</v>
      </c>
      <c r="C176" s="82"/>
      <c r="D176" s="82" t="s">
        <v>181</v>
      </c>
      <c r="E176" s="52"/>
      <c r="F176" s="52" t="s">
        <v>158</v>
      </c>
      <c r="G176" s="52"/>
      <c r="H176" s="52"/>
      <c r="I176" s="52"/>
      <c r="J176" s="52"/>
      <c r="K176" s="52"/>
      <c r="L176" s="52"/>
      <c r="M176" s="118"/>
      <c r="N176" s="141">
        <f t="shared" si="14"/>
        <v>0</v>
      </c>
      <c r="O176" s="105">
        <f t="shared" si="15"/>
        <v>3.5343000000000004</v>
      </c>
      <c r="P176" s="324">
        <v>0.37</v>
      </c>
      <c r="Q176" s="105">
        <f>Q175</f>
        <v>5.61</v>
      </c>
    </row>
    <row r="177" spans="2:21" ht="12.65" customHeight="1" x14ac:dyDescent="0.35">
      <c r="B177" s="103">
        <v>9040050020</v>
      </c>
      <c r="C177" s="82"/>
      <c r="D177" s="82" t="s">
        <v>181</v>
      </c>
      <c r="E177" s="52"/>
      <c r="F177" s="52" t="s">
        <v>272</v>
      </c>
      <c r="G177" s="52"/>
      <c r="H177" s="52"/>
      <c r="I177" s="52"/>
      <c r="J177" s="52"/>
      <c r="K177" s="52"/>
      <c r="L177" s="52"/>
      <c r="M177" s="118"/>
      <c r="N177" s="141">
        <f t="shared" si="14"/>
        <v>0</v>
      </c>
      <c r="O177" s="105">
        <f t="shared" si="15"/>
        <v>3.5343000000000004</v>
      </c>
      <c r="P177" s="324">
        <v>0.37</v>
      </c>
      <c r="Q177" s="105">
        <f>Q175</f>
        <v>5.61</v>
      </c>
    </row>
    <row r="178" spans="2:21" s="101" customFormat="1" ht="12.65" customHeight="1" x14ac:dyDescent="0.35">
      <c r="B178" s="103">
        <v>9040050022</v>
      </c>
      <c r="C178" s="82"/>
      <c r="D178" s="82" t="s">
        <v>67</v>
      </c>
      <c r="E178" s="52"/>
      <c r="F178" s="52" t="s">
        <v>129</v>
      </c>
      <c r="G178" s="52"/>
      <c r="H178" s="52"/>
      <c r="I178" s="52"/>
      <c r="J178" s="52"/>
      <c r="K178" s="52"/>
      <c r="L178" s="52"/>
      <c r="M178" s="118"/>
      <c r="N178" s="141">
        <f t="shared" si="14"/>
        <v>0</v>
      </c>
      <c r="O178" s="105">
        <f t="shared" si="15"/>
        <v>4.1265000000000001</v>
      </c>
      <c r="P178" s="324">
        <v>0.37</v>
      </c>
      <c r="Q178" s="318">
        <v>6.55</v>
      </c>
      <c r="R178" s="126"/>
      <c r="S178" s="52"/>
      <c r="T178" s="53"/>
      <c r="U178" s="117"/>
    </row>
    <row r="179" spans="2:21" s="101" customFormat="1" ht="12.65" customHeight="1" x14ac:dyDescent="0.35">
      <c r="B179" s="103">
        <v>9040050024</v>
      </c>
      <c r="C179" s="82"/>
      <c r="D179" s="82" t="s">
        <v>67</v>
      </c>
      <c r="E179" s="52"/>
      <c r="F179" s="52" t="s">
        <v>158</v>
      </c>
      <c r="G179" s="52"/>
      <c r="H179" s="52"/>
      <c r="I179" s="52"/>
      <c r="J179" s="52"/>
      <c r="K179" s="52"/>
      <c r="L179" s="52"/>
      <c r="M179" s="118"/>
      <c r="N179" s="141">
        <f t="shared" si="14"/>
        <v>0</v>
      </c>
      <c r="O179" s="105">
        <f t="shared" si="15"/>
        <v>4.1265000000000001</v>
      </c>
      <c r="P179" s="324">
        <v>0.37</v>
      </c>
      <c r="Q179" s="105">
        <f>Q178</f>
        <v>6.55</v>
      </c>
      <c r="R179" s="126"/>
      <c r="S179" s="52"/>
      <c r="T179" s="53"/>
      <c r="U179" s="117"/>
    </row>
    <row r="180" spans="2:21" s="101" customFormat="1" ht="12.65" customHeight="1" x14ac:dyDescent="0.35">
      <c r="B180" s="103">
        <v>9040050023</v>
      </c>
      <c r="C180" s="82"/>
      <c r="D180" s="82" t="s">
        <v>67</v>
      </c>
      <c r="E180" s="52"/>
      <c r="F180" s="52" t="s">
        <v>272</v>
      </c>
      <c r="G180" s="52"/>
      <c r="H180" s="52"/>
      <c r="I180" s="52"/>
      <c r="J180" s="52"/>
      <c r="K180" s="52"/>
      <c r="L180" s="52"/>
      <c r="M180" s="118"/>
      <c r="N180" s="141">
        <f t="shared" si="14"/>
        <v>0</v>
      </c>
      <c r="O180" s="105">
        <f t="shared" si="15"/>
        <v>4.1265000000000001</v>
      </c>
      <c r="P180" s="324">
        <v>0.37</v>
      </c>
      <c r="Q180" s="105">
        <f>Q178</f>
        <v>6.55</v>
      </c>
      <c r="R180" s="126"/>
      <c r="S180" s="52"/>
      <c r="T180" s="53"/>
      <c r="U180" s="117"/>
    </row>
    <row r="181" spans="2:21" s="45" customFormat="1" x14ac:dyDescent="0.35">
      <c r="B181" s="17"/>
      <c r="C181" s="18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24"/>
      <c r="O181" s="101"/>
      <c r="P181" s="191"/>
      <c r="Q181" s="137"/>
      <c r="R181" s="126"/>
    </row>
    <row r="182" spans="2:21" s="45" customFormat="1" x14ac:dyDescent="0.35">
      <c r="B182" s="17"/>
      <c r="C182" s="18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24"/>
      <c r="O182" s="101"/>
      <c r="P182" s="191"/>
      <c r="Q182" s="137"/>
      <c r="R182" s="126"/>
    </row>
    <row r="183" spans="2:21" s="45" customFormat="1" x14ac:dyDescent="0.35">
      <c r="B183" s="17" t="s">
        <v>182</v>
      </c>
      <c r="C183" s="18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24"/>
      <c r="O183" s="101"/>
      <c r="P183" s="191"/>
      <c r="Q183" s="137"/>
      <c r="R183" s="126"/>
      <c r="S183" s="52"/>
      <c r="T183" s="53"/>
      <c r="U183" s="19"/>
    </row>
    <row r="184" spans="2:21" s="45" customFormat="1" x14ac:dyDescent="0.35">
      <c r="B184" s="17"/>
      <c r="C184" s="18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44"/>
      <c r="O184" s="101"/>
      <c r="P184" s="191"/>
      <c r="Q184" s="137"/>
      <c r="R184" s="126"/>
    </row>
    <row r="185" spans="2:21" ht="12.45" customHeight="1" x14ac:dyDescent="0.35">
      <c r="B185" s="82" t="s">
        <v>27</v>
      </c>
      <c r="C185" s="82"/>
      <c r="D185" s="52" t="s">
        <v>86</v>
      </c>
      <c r="E185" s="52"/>
      <c r="F185" s="39" t="s">
        <v>137</v>
      </c>
      <c r="G185" s="52"/>
      <c r="H185" s="52"/>
      <c r="I185" s="52"/>
      <c r="J185" s="52"/>
      <c r="K185" s="52"/>
      <c r="L185" s="52"/>
      <c r="M185" s="52"/>
      <c r="N185" s="147" t="s">
        <v>77</v>
      </c>
      <c r="O185" s="139" t="s">
        <v>90</v>
      </c>
      <c r="P185" s="43" t="s">
        <v>30</v>
      </c>
      <c r="Q185" s="139" t="s">
        <v>161</v>
      </c>
      <c r="R185" s="108"/>
    </row>
    <row r="186" spans="2:21" ht="12.65" customHeight="1" x14ac:dyDescent="0.35">
      <c r="B186" s="103">
        <v>9040050028</v>
      </c>
      <c r="C186" s="82" t="s">
        <v>68</v>
      </c>
      <c r="D186" s="82">
        <v>80</v>
      </c>
      <c r="E186" s="52"/>
      <c r="F186" s="52" t="s">
        <v>129</v>
      </c>
      <c r="G186" s="52"/>
      <c r="H186" s="52"/>
      <c r="I186" s="52"/>
      <c r="J186" s="52"/>
      <c r="K186" s="52"/>
      <c r="L186" s="52"/>
      <c r="M186" s="118"/>
      <c r="N186" s="141">
        <f t="shared" ref="N186:N191" si="16">($U$3*Q186)</f>
        <v>0</v>
      </c>
      <c r="O186" s="105">
        <f t="shared" ref="O186:O191" si="17">Q186*(100%-P186)</f>
        <v>3.4272000000000005</v>
      </c>
      <c r="P186" s="324">
        <v>0.37</v>
      </c>
      <c r="Q186" s="318">
        <v>5.44</v>
      </c>
    </row>
    <row r="187" spans="2:21" ht="12.65" customHeight="1" x14ac:dyDescent="0.35">
      <c r="B187" s="103">
        <v>9040050030</v>
      </c>
      <c r="C187" s="82" t="s">
        <v>68</v>
      </c>
      <c r="D187" s="82">
        <v>80</v>
      </c>
      <c r="E187" s="52"/>
      <c r="F187" s="52" t="s">
        <v>158</v>
      </c>
      <c r="G187" s="52"/>
      <c r="H187" s="52"/>
      <c r="I187" s="52"/>
      <c r="J187" s="52"/>
      <c r="K187" s="52"/>
      <c r="L187" s="52"/>
      <c r="M187" s="118"/>
      <c r="N187" s="141">
        <f t="shared" si="16"/>
        <v>0</v>
      </c>
      <c r="O187" s="105">
        <f t="shared" si="17"/>
        <v>3.4272000000000005</v>
      </c>
      <c r="P187" s="324">
        <v>0.37</v>
      </c>
      <c r="Q187" s="105">
        <f>Q186</f>
        <v>5.44</v>
      </c>
    </row>
    <row r="188" spans="2:21" ht="12.65" customHeight="1" x14ac:dyDescent="0.35">
      <c r="B188" s="103">
        <v>9040050029</v>
      </c>
      <c r="C188" s="82" t="s">
        <v>68</v>
      </c>
      <c r="D188" s="82">
        <v>80</v>
      </c>
      <c r="E188" s="52"/>
      <c r="F188" s="52" t="s">
        <v>272</v>
      </c>
      <c r="G188" s="52"/>
      <c r="H188" s="52"/>
      <c r="I188" s="52"/>
      <c r="J188" s="52"/>
      <c r="K188" s="52"/>
      <c r="L188" s="52"/>
      <c r="M188" s="118"/>
      <c r="N188" s="141">
        <f t="shared" si="16"/>
        <v>0</v>
      </c>
      <c r="O188" s="105">
        <f t="shared" si="17"/>
        <v>3.4272000000000005</v>
      </c>
      <c r="P188" s="324">
        <v>0.37</v>
      </c>
      <c r="Q188" s="105">
        <f>Q186</f>
        <v>5.44</v>
      </c>
    </row>
    <row r="189" spans="2:21" ht="12.65" customHeight="1" x14ac:dyDescent="0.35">
      <c r="B189" s="103">
        <v>9040050031</v>
      </c>
      <c r="C189" s="82"/>
      <c r="D189" s="82">
        <v>100</v>
      </c>
      <c r="E189" s="52"/>
      <c r="F189" s="52" t="s">
        <v>129</v>
      </c>
      <c r="G189" s="52"/>
      <c r="H189" s="52"/>
      <c r="I189" s="52"/>
      <c r="J189" s="52"/>
      <c r="K189" s="52"/>
      <c r="L189" s="52"/>
      <c r="M189" s="118"/>
      <c r="N189" s="141">
        <f t="shared" si="16"/>
        <v>0</v>
      </c>
      <c r="O189" s="105">
        <f t="shared" si="17"/>
        <v>3.4964999999999997</v>
      </c>
      <c r="P189" s="324">
        <v>0.37</v>
      </c>
      <c r="Q189" s="318">
        <v>5.55</v>
      </c>
    </row>
    <row r="190" spans="2:21" ht="12.65" customHeight="1" x14ac:dyDescent="0.35">
      <c r="B190" s="103">
        <v>9040050033</v>
      </c>
      <c r="C190" s="82"/>
      <c r="D190" s="82">
        <v>100</v>
      </c>
      <c r="E190" s="52"/>
      <c r="F190" s="52" t="s">
        <v>158</v>
      </c>
      <c r="G190" s="52"/>
      <c r="H190" s="52"/>
      <c r="I190" s="52"/>
      <c r="J190" s="52"/>
      <c r="K190" s="52"/>
      <c r="L190" s="52"/>
      <c r="M190" s="118"/>
      <c r="N190" s="141">
        <f t="shared" si="16"/>
        <v>0</v>
      </c>
      <c r="O190" s="105">
        <f t="shared" si="17"/>
        <v>3.4964999999999997</v>
      </c>
      <c r="P190" s="324">
        <v>0.37</v>
      </c>
      <c r="Q190" s="105">
        <f>Q189</f>
        <v>5.55</v>
      </c>
    </row>
    <row r="191" spans="2:21" ht="12.65" customHeight="1" x14ac:dyDescent="0.35">
      <c r="B191" s="103">
        <v>9040050032</v>
      </c>
      <c r="C191" s="82"/>
      <c r="D191" s="82">
        <v>100</v>
      </c>
      <c r="E191" s="52"/>
      <c r="F191" s="52" t="s">
        <v>272</v>
      </c>
      <c r="G191" s="52"/>
      <c r="H191" s="52"/>
      <c r="I191" s="52"/>
      <c r="J191" s="52"/>
      <c r="K191" s="52"/>
      <c r="L191" s="52"/>
      <c r="M191" s="118"/>
      <c r="N191" s="141">
        <f t="shared" si="16"/>
        <v>0</v>
      </c>
      <c r="O191" s="105">
        <f t="shared" si="17"/>
        <v>3.4964999999999997</v>
      </c>
      <c r="P191" s="324">
        <v>0.37</v>
      </c>
      <c r="Q191" s="105">
        <f>Q189</f>
        <v>5.55</v>
      </c>
    </row>
    <row r="192" spans="2:21" x14ac:dyDescent="0.35">
      <c r="B192" s="19"/>
      <c r="O192" s="101"/>
      <c r="P192" s="191"/>
      <c r="Q192" s="137"/>
    </row>
    <row r="193" spans="2:21" s="45" customFormat="1" x14ac:dyDescent="0.35">
      <c r="B193" s="17"/>
      <c r="C193" s="18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24"/>
      <c r="O193" s="101"/>
      <c r="P193" s="191"/>
      <c r="Q193" s="137"/>
      <c r="R193" s="126"/>
      <c r="S193" s="52"/>
      <c r="T193" s="53"/>
      <c r="U193" s="19"/>
    </row>
    <row r="194" spans="2:21" s="45" customFormat="1" x14ac:dyDescent="0.35">
      <c r="B194" s="17"/>
      <c r="C194" s="18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24"/>
      <c r="O194" s="101"/>
      <c r="P194" s="191"/>
      <c r="Q194" s="137"/>
      <c r="R194" s="126"/>
    </row>
    <row r="195" spans="2:21" s="45" customFormat="1" ht="12.45" customHeight="1" x14ac:dyDescent="0.35">
      <c r="B195" s="17"/>
      <c r="C195" s="18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24"/>
      <c r="O195" s="117"/>
      <c r="P195" s="174"/>
      <c r="Q195" s="175"/>
      <c r="R195" s="126"/>
    </row>
    <row r="196" spans="2:21" s="92" customFormat="1" ht="12.45" customHeight="1" x14ac:dyDescent="0.35">
      <c r="B196" s="17"/>
      <c r="C196" s="18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24"/>
      <c r="O196" s="117"/>
      <c r="P196" s="194"/>
      <c r="Q196" s="175"/>
      <c r="R196" s="126"/>
    </row>
    <row r="197" spans="2:21" s="117" customFormat="1" ht="12.45" customHeight="1" x14ac:dyDescent="0.35">
      <c r="B197" s="17"/>
      <c r="C197" s="18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24"/>
      <c r="P197" s="193"/>
      <c r="Q197" s="175"/>
      <c r="R197" s="126"/>
    </row>
    <row r="198" spans="2:21" s="117" customFormat="1" ht="12.45" customHeight="1" x14ac:dyDescent="0.35">
      <c r="B198" s="17"/>
      <c r="C198" s="18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24"/>
      <c r="P198" s="193"/>
      <c r="Q198" s="175"/>
      <c r="R198" s="126"/>
    </row>
    <row r="199" spans="2:21" s="117" customFormat="1" ht="12.45" customHeight="1" x14ac:dyDescent="0.35">
      <c r="B199" s="17"/>
      <c r="C199" s="18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24"/>
      <c r="P199" s="193"/>
      <c r="Q199" s="175"/>
      <c r="R199" s="126"/>
    </row>
    <row r="200" spans="2:21" s="120" customFormat="1" ht="12.45" customHeight="1" x14ac:dyDescent="0.35">
      <c r="B200" s="17"/>
      <c r="C200" s="18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24"/>
      <c r="O200" s="117"/>
      <c r="P200" s="194"/>
      <c r="Q200" s="175"/>
      <c r="R200" s="126"/>
    </row>
  </sheetData>
  <sheetProtection algorithmName="SHA-512" hashValue="pvRzjyQOSJOUMp/jzTjDo9F5pmAA3FPx9gfuljIqxBYtYJp+fj6w9ueXvGG5ssFH7lnmhvoIVKHHeui4faapkg==" saltValue="P8b+l+IfeviAWCQwZRsmPA==" spinCount="100000" sheet="1" objects="1" scenarios="1"/>
  <conditionalFormatting sqref="B6:N8">
    <cfRule type="expression" dxfId="223" priority="313">
      <formula>MOD(ROW(),2)=0</formula>
    </cfRule>
  </conditionalFormatting>
  <conditionalFormatting sqref="B14:N19">
    <cfRule type="expression" dxfId="222" priority="1">
      <formula>MOD(ROW(),2)=0</formula>
    </cfRule>
  </conditionalFormatting>
  <conditionalFormatting sqref="B24:N27">
    <cfRule type="expression" dxfId="221" priority="185">
      <formula>MOD(ROW(),2)=0</formula>
    </cfRule>
  </conditionalFormatting>
  <conditionalFormatting sqref="B32:N32">
    <cfRule type="expression" dxfId="220" priority="296">
      <formula>MOD(ROW(),2)=0</formula>
    </cfRule>
  </conditionalFormatting>
  <conditionalFormatting sqref="B38:N40">
    <cfRule type="expression" dxfId="219" priority="181">
      <formula>MOD(ROW(),2)=0</formula>
    </cfRule>
  </conditionalFormatting>
  <conditionalFormatting sqref="B42:N44">
    <cfRule type="expression" dxfId="218" priority="174">
      <formula>MOD(ROW(),2)=0</formula>
    </cfRule>
  </conditionalFormatting>
  <conditionalFormatting sqref="B54:N61">
    <cfRule type="expression" dxfId="217" priority="159">
      <formula>MOD(ROW(),2)=0</formula>
    </cfRule>
  </conditionalFormatting>
  <conditionalFormatting sqref="B66:N68">
    <cfRule type="expression" dxfId="216" priority="155">
      <formula>MOD(ROW(),2)=0</formula>
    </cfRule>
  </conditionalFormatting>
  <conditionalFormatting sqref="B74:N76">
    <cfRule type="expression" dxfId="215" priority="151">
      <formula>MOD(ROW(),2)=0</formula>
    </cfRule>
  </conditionalFormatting>
  <conditionalFormatting sqref="B82:N84">
    <cfRule type="expression" dxfId="214" priority="147">
      <formula>MOD(ROW(),2)=0</formula>
    </cfRule>
  </conditionalFormatting>
  <conditionalFormatting sqref="B90:N95">
    <cfRule type="expression" dxfId="213" priority="113">
      <formula>MOD(ROW(),2)=0</formula>
    </cfRule>
  </conditionalFormatting>
  <conditionalFormatting sqref="B102:N107">
    <cfRule type="expression" dxfId="212" priority="107">
      <formula>MOD(ROW(),2)=0</formula>
    </cfRule>
  </conditionalFormatting>
  <conditionalFormatting sqref="B110:N115">
    <cfRule type="expression" dxfId="211" priority="101">
      <formula>MOD(ROW(),2)=0</formula>
    </cfRule>
  </conditionalFormatting>
  <conditionalFormatting sqref="B122:N127">
    <cfRule type="expression" dxfId="210" priority="83">
      <formula>MOD(ROW(),2)=0</formula>
    </cfRule>
  </conditionalFormatting>
  <conditionalFormatting sqref="B132:N137">
    <cfRule type="expression" dxfId="209" priority="67">
      <formula>MOD(ROW(),2)=0</formula>
    </cfRule>
  </conditionalFormatting>
  <conditionalFormatting sqref="B142:N147">
    <cfRule type="expression" dxfId="208" priority="53">
      <formula>MOD(ROW(),2)=0</formula>
    </cfRule>
  </conditionalFormatting>
  <conditionalFormatting sqref="B156:N158">
    <cfRule type="expression" dxfId="207" priority="46">
      <formula>MOD(ROW(),2)=0</formula>
    </cfRule>
  </conditionalFormatting>
  <conditionalFormatting sqref="B164:N166">
    <cfRule type="expression" dxfId="206" priority="39">
      <formula>MOD(ROW(),2)=0</formula>
    </cfRule>
  </conditionalFormatting>
  <conditionalFormatting sqref="B172:N180">
    <cfRule type="expression" dxfId="205" priority="18">
      <formula>MOD(ROW(),2)=0</formula>
    </cfRule>
  </conditionalFormatting>
  <conditionalFormatting sqref="B186:N191">
    <cfRule type="expression" dxfId="204" priority="4">
      <formula>MOD(ROW(),2)=0</formula>
    </cfRule>
  </conditionalFormatting>
  <conditionalFormatting sqref="C6">
    <cfRule type="expression" dxfId="203" priority="311">
      <formula>MOD(ROW(),2)=0</formula>
    </cfRule>
  </conditionalFormatting>
  <conditionalFormatting sqref="C7:D8">
    <cfRule type="expression" dxfId="202" priority="312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9" orientation="portrait" r:id="rId1"/>
  <headerFooter>
    <oddHeader>&amp;L&amp;G&amp;R&amp;"Century Gothic,Fett"&amp;16&amp;A</oddHeader>
  </headerFooter>
  <rowBreaks count="3" manualBreakCount="3">
    <brk id="48" max="16383" man="1"/>
    <brk id="97" max="16383" man="1"/>
    <brk id="148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6" tint="-0.249977111117893"/>
  </sheetPr>
  <dimension ref="A1:W169"/>
  <sheetViews>
    <sheetView showGridLines="0" view="pageBreakPreview" zoomScaleNormal="100" zoomScaleSheetLayoutView="100" workbookViewId="0">
      <selection activeCell="O10" sqref="O10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1.25" style="18" customWidth="1"/>
    <col min="4" max="5" width="4.75" style="19" customWidth="1"/>
    <col min="6" max="6" width="7.75" style="19" customWidth="1"/>
    <col min="7" max="7" width="6.25" style="19" customWidth="1"/>
    <col min="8" max="8" width="4.75" style="19" customWidth="1"/>
    <col min="9" max="9" width="5.75" style="19" customWidth="1"/>
    <col min="10" max="10" width="4.25" style="19" customWidth="1"/>
    <col min="11" max="11" width="4" style="19" customWidth="1"/>
    <col min="12" max="12" width="8.25" style="19" customWidth="1"/>
    <col min="13" max="14" width="6.25" style="19" hidden="1" customWidth="1" outlineLevel="1"/>
    <col min="15" max="15" width="8.4375" style="19" hidden="1" customWidth="1" outlineLevel="1"/>
    <col min="16" max="16" width="7.75" style="19" hidden="1" customWidth="1" outlineLevel="1"/>
    <col min="17" max="17" width="6.75" style="19" hidden="1" customWidth="1" outlineLevel="1"/>
    <col min="18" max="18" width="21" style="19" hidden="1" customWidth="1" outlineLevel="1"/>
    <col min="19" max="22" width="11.25" style="19" hidden="1" customWidth="1" outlineLevel="1"/>
    <col min="23" max="23" width="11.25" style="19" collapsed="1"/>
    <col min="24" max="16384" width="11.25" style="19"/>
  </cols>
  <sheetData>
    <row r="1" spans="2:19" ht="22.95" customHeight="1" thickBot="1" x14ac:dyDescent="0.85">
      <c r="B1" s="9" t="s">
        <v>117</v>
      </c>
      <c r="L1" s="20"/>
      <c r="M1" s="21"/>
      <c r="N1" s="306"/>
      <c r="O1" s="307" t="s">
        <v>30</v>
      </c>
      <c r="P1" s="308">
        <f>Inhaltsverzeichnis!K20</f>
        <v>1</v>
      </c>
      <c r="Q1" s="309">
        <f>(1-P1)*(1+S1)</f>
        <v>0</v>
      </c>
      <c r="R1" s="310" t="s">
        <v>31</v>
      </c>
      <c r="S1" s="311">
        <v>0</v>
      </c>
    </row>
    <row r="2" spans="2:19" ht="12.45" customHeight="1" x14ac:dyDescent="0.35">
      <c r="L2" s="144"/>
      <c r="N2" s="312"/>
      <c r="O2" s="312"/>
      <c r="P2" s="312"/>
      <c r="Q2" s="313"/>
      <c r="R2" s="312"/>
      <c r="S2" s="312"/>
    </row>
    <row r="3" spans="2:19" s="178" customFormat="1" ht="12.45" customHeight="1" thickBot="1" x14ac:dyDescent="0.4">
      <c r="B3" s="178" t="s">
        <v>27</v>
      </c>
      <c r="C3" s="181"/>
      <c r="D3" s="178" t="s">
        <v>191</v>
      </c>
      <c r="E3" s="180" t="s">
        <v>194</v>
      </c>
      <c r="F3" s="180"/>
      <c r="G3" s="180" t="s">
        <v>202</v>
      </c>
      <c r="H3" s="195" t="s">
        <v>300</v>
      </c>
      <c r="I3" s="195"/>
      <c r="J3" s="195"/>
      <c r="K3" s="195"/>
      <c r="L3" s="149" t="s">
        <v>190</v>
      </c>
      <c r="M3" s="178" t="s">
        <v>293</v>
      </c>
      <c r="N3" s="178" t="s">
        <v>294</v>
      </c>
      <c r="O3" s="178" t="s">
        <v>290</v>
      </c>
      <c r="P3" s="178" t="s">
        <v>292</v>
      </c>
      <c r="Q3" s="178" t="s">
        <v>544</v>
      </c>
    </row>
    <row r="4" spans="2:19" s="26" customFormat="1" ht="11.6" x14ac:dyDescent="0.35">
      <c r="B4" s="103">
        <v>9010070002</v>
      </c>
      <c r="C4" s="82"/>
      <c r="D4" s="139">
        <v>0.6</v>
      </c>
      <c r="E4" s="52">
        <v>670</v>
      </c>
      <c r="F4" s="52" t="s">
        <v>195</v>
      </c>
      <c r="G4" s="101" t="s">
        <v>297</v>
      </c>
      <c r="H4" s="105">
        <v>114.5</v>
      </c>
      <c r="I4" s="101" t="s">
        <v>295</v>
      </c>
      <c r="J4" s="52"/>
      <c r="K4" s="52"/>
      <c r="L4" s="141" t="s">
        <v>192</v>
      </c>
      <c r="M4" s="422">
        <f>(O4+P4+Q4)/100</f>
        <v>11.89</v>
      </c>
      <c r="N4" s="424">
        <f>(O4+Q4)/100</f>
        <v>11.24</v>
      </c>
      <c r="O4" s="435">
        <v>964</v>
      </c>
      <c r="P4" s="439">
        <v>65</v>
      </c>
      <c r="Q4" s="442">
        <v>160</v>
      </c>
      <c r="R4" s="418" t="s">
        <v>562</v>
      </c>
    </row>
    <row r="5" spans="2:19" s="26" customFormat="1" ht="12.45" customHeight="1" x14ac:dyDescent="0.35">
      <c r="B5" s="103">
        <v>9010070013</v>
      </c>
      <c r="C5" s="82"/>
      <c r="D5" s="139">
        <v>0.6</v>
      </c>
      <c r="E5" s="52">
        <v>800</v>
      </c>
      <c r="F5" s="52" t="s">
        <v>195</v>
      </c>
      <c r="G5" s="101" t="s">
        <v>297</v>
      </c>
      <c r="H5" s="105">
        <v>136.69999999999999</v>
      </c>
      <c r="I5" s="101" t="s">
        <v>295</v>
      </c>
      <c r="J5" s="52"/>
      <c r="K5" s="52"/>
      <c r="L5" s="141" t="s">
        <v>192</v>
      </c>
      <c r="M5" s="432">
        <f>(O5+P5+Q5)/100</f>
        <v>10.49</v>
      </c>
      <c r="N5" s="424">
        <f>(O5+Q5)/100</f>
        <v>9.84</v>
      </c>
      <c r="O5" s="436">
        <f>O4</f>
        <v>964</v>
      </c>
      <c r="P5" s="440">
        <f>P4</f>
        <v>65</v>
      </c>
      <c r="Q5" s="443">
        <v>20</v>
      </c>
      <c r="R5" s="419"/>
    </row>
    <row r="6" spans="2:19" s="26" customFormat="1" ht="12.65" customHeight="1" x14ac:dyDescent="0.35">
      <c r="B6" s="103">
        <v>9010070004</v>
      </c>
      <c r="C6" s="82"/>
      <c r="D6" s="139">
        <v>0.6</v>
      </c>
      <c r="E6" s="52">
        <v>1000</v>
      </c>
      <c r="F6" s="52" t="s">
        <v>195</v>
      </c>
      <c r="G6" s="101" t="s">
        <v>297</v>
      </c>
      <c r="H6" s="105">
        <v>165.5</v>
      </c>
      <c r="I6" s="101" t="s">
        <v>295</v>
      </c>
      <c r="J6" s="52"/>
      <c r="K6" s="52"/>
      <c r="L6" s="141" t="s">
        <v>192</v>
      </c>
      <c r="M6" s="423"/>
      <c r="N6" s="425"/>
      <c r="O6" s="437"/>
      <c r="P6" s="440"/>
      <c r="Q6" s="443"/>
      <c r="R6" s="419"/>
    </row>
    <row r="7" spans="2:19" s="45" customFormat="1" ht="12.65" customHeight="1" x14ac:dyDescent="0.35">
      <c r="B7" s="54"/>
      <c r="C7" s="42"/>
      <c r="D7" s="42"/>
      <c r="G7" s="156"/>
      <c r="H7" s="157"/>
      <c r="I7" s="156"/>
      <c r="J7" s="157"/>
      <c r="K7" s="157"/>
      <c r="L7" s="157"/>
      <c r="M7" s="423"/>
      <c r="N7" s="425"/>
      <c r="O7" s="437"/>
      <c r="P7" s="440"/>
      <c r="Q7" s="443"/>
      <c r="R7" s="419"/>
    </row>
    <row r="8" spans="2:19" s="45" customFormat="1" ht="12.45" customHeight="1" x14ac:dyDescent="0.35">
      <c r="B8" s="83">
        <v>9010070003</v>
      </c>
      <c r="C8" s="42"/>
      <c r="D8" s="42">
        <v>0.7</v>
      </c>
      <c r="E8" s="26">
        <v>670</v>
      </c>
      <c r="F8" s="26" t="s">
        <v>195</v>
      </c>
      <c r="G8" s="105" t="s">
        <v>297</v>
      </c>
      <c r="H8" s="105">
        <v>133.6</v>
      </c>
      <c r="I8" s="105" t="s">
        <v>295</v>
      </c>
      <c r="J8" s="157"/>
      <c r="K8" s="65"/>
      <c r="L8" s="141" t="s">
        <v>192</v>
      </c>
      <c r="M8" s="423"/>
      <c r="N8" s="425">
        <f>(O8+Q8)/100</f>
        <v>9.4499999999999993</v>
      </c>
      <c r="O8" s="437">
        <v>920</v>
      </c>
      <c r="P8" s="440">
        <v>25</v>
      </c>
      <c r="Q8" s="443">
        <v>25</v>
      </c>
      <c r="R8" s="419"/>
    </row>
    <row r="9" spans="2:19" s="45" customFormat="1" ht="12.45" customHeight="1" thickBot="1" x14ac:dyDescent="0.4">
      <c r="B9" s="83">
        <v>9010070005</v>
      </c>
      <c r="C9" s="42"/>
      <c r="D9" s="42">
        <v>0.7</v>
      </c>
      <c r="E9" s="26">
        <v>1000</v>
      </c>
      <c r="F9" s="26" t="s">
        <v>195</v>
      </c>
      <c r="G9" s="105" t="s">
        <v>298</v>
      </c>
      <c r="H9" s="105">
        <v>149.5</v>
      </c>
      <c r="I9" s="105" t="s">
        <v>295</v>
      </c>
      <c r="J9" s="157"/>
      <c r="K9" s="65"/>
      <c r="L9" s="141" t="s">
        <v>192</v>
      </c>
      <c r="M9" s="423"/>
      <c r="N9" s="425">
        <f>(O9+Q9)/100</f>
        <v>9.1999999999999993</v>
      </c>
      <c r="O9" s="438">
        <f>O8</f>
        <v>920</v>
      </c>
      <c r="P9" s="441">
        <f>P8</f>
        <v>25</v>
      </c>
      <c r="Q9" s="443"/>
      <c r="R9" s="419"/>
    </row>
    <row r="10" spans="2:19" s="45" customFormat="1" ht="6.45" customHeight="1" x14ac:dyDescent="0.35">
      <c r="B10" s="83"/>
      <c r="C10" s="42"/>
      <c r="D10" s="42"/>
      <c r="E10" s="26"/>
      <c r="F10" s="26"/>
      <c r="G10" s="156"/>
      <c r="H10" s="157"/>
      <c r="I10" s="156"/>
      <c r="J10" s="157"/>
      <c r="K10" s="157"/>
      <c r="L10" s="147"/>
      <c r="M10" s="101"/>
      <c r="N10" s="196"/>
      <c r="O10" s="314"/>
      <c r="P10" s="314"/>
      <c r="R10" s="419"/>
    </row>
    <row r="11" spans="2:19" s="45" customFormat="1" ht="15.75" customHeight="1" x14ac:dyDescent="0.35">
      <c r="B11" s="197" t="s">
        <v>520</v>
      </c>
      <c r="C11" s="42"/>
      <c r="E11" s="26"/>
      <c r="F11" s="26"/>
      <c r="G11" s="180"/>
      <c r="H11" s="195"/>
      <c r="I11" s="156"/>
      <c r="J11" s="157"/>
      <c r="K11" s="157"/>
      <c r="L11" s="147"/>
      <c r="M11" s="132"/>
      <c r="N11" s="196"/>
      <c r="O11" s="315"/>
      <c r="P11" s="315"/>
      <c r="R11" s="419"/>
    </row>
    <row r="12" spans="2:19" s="45" customFormat="1" ht="12.45" customHeight="1" x14ac:dyDescent="0.35">
      <c r="B12" s="83">
        <v>9010070011</v>
      </c>
      <c r="C12" s="42"/>
      <c r="D12" s="42">
        <v>0.6</v>
      </c>
      <c r="E12" s="26">
        <v>250</v>
      </c>
      <c r="F12" s="26" t="s">
        <v>195</v>
      </c>
      <c r="G12" s="105" t="s">
        <v>297</v>
      </c>
      <c r="H12" s="105">
        <v>42.7</v>
      </c>
      <c r="I12" s="105" t="s">
        <v>295</v>
      </c>
      <c r="J12" s="157"/>
      <c r="K12" s="65"/>
      <c r="L12" s="141" t="s">
        <v>192</v>
      </c>
      <c r="M12" s="422">
        <f>((O12+P12+Q12)/100)+0.15</f>
        <v>12.040000000000001</v>
      </c>
      <c r="N12" s="424">
        <f>((O12+Q12)/100)+0.15</f>
        <v>11.39</v>
      </c>
      <c r="O12" s="426">
        <f>O4</f>
        <v>964</v>
      </c>
      <c r="P12" s="428">
        <f>P4</f>
        <v>65</v>
      </c>
      <c r="Q12" s="434">
        <v>160</v>
      </c>
      <c r="R12" s="419"/>
    </row>
    <row r="13" spans="2:19" s="45" customFormat="1" ht="12.45" customHeight="1" x14ac:dyDescent="0.35">
      <c r="B13" s="83">
        <v>9010070012</v>
      </c>
      <c r="C13" s="42"/>
      <c r="D13" s="42">
        <v>0.6</v>
      </c>
      <c r="E13" s="26">
        <v>333</v>
      </c>
      <c r="F13" s="26" t="s">
        <v>195</v>
      </c>
      <c r="G13" s="105" t="s">
        <v>297</v>
      </c>
      <c r="H13" s="105">
        <v>56.9</v>
      </c>
      <c r="I13" s="105" t="s">
        <v>295</v>
      </c>
      <c r="J13" s="157"/>
      <c r="K13" s="65"/>
      <c r="L13" s="141" t="s">
        <v>192</v>
      </c>
      <c r="M13" s="432"/>
      <c r="N13" s="424">
        <f>(O13+Q13)/100</f>
        <v>9.64</v>
      </c>
      <c r="O13" s="433">
        <f>O12</f>
        <v>964</v>
      </c>
      <c r="P13" s="427">
        <f>P12</f>
        <v>65</v>
      </c>
      <c r="Q13" s="423"/>
      <c r="R13" s="419"/>
    </row>
    <row r="14" spans="2:19" s="45" customFormat="1" ht="6.45" customHeight="1" x14ac:dyDescent="0.35">
      <c r="B14" s="83"/>
      <c r="C14" s="42"/>
      <c r="D14" s="42"/>
      <c r="E14" s="26"/>
      <c r="F14" s="26"/>
      <c r="G14" s="105"/>
      <c r="H14" s="105"/>
      <c r="I14" s="105"/>
      <c r="J14" s="157"/>
      <c r="K14" s="157"/>
      <c r="L14" s="147"/>
      <c r="M14" s="18"/>
      <c r="N14" s="199"/>
      <c r="O14" s="316"/>
      <c r="P14" s="317"/>
      <c r="Q14" s="202"/>
      <c r="R14" s="419"/>
    </row>
    <row r="15" spans="2:19" s="45" customFormat="1" ht="6.45" customHeight="1" x14ac:dyDescent="0.35">
      <c r="B15" s="23"/>
      <c r="C15" s="42"/>
      <c r="D15" s="42"/>
      <c r="E15" s="26"/>
      <c r="F15" s="26"/>
      <c r="G15" s="156"/>
      <c r="H15" s="157"/>
      <c r="I15" s="156"/>
      <c r="J15" s="157"/>
      <c r="K15" s="157"/>
      <c r="L15" s="147"/>
      <c r="M15" s="18"/>
      <c r="N15" s="199"/>
      <c r="O15" s="316"/>
      <c r="P15" s="317"/>
      <c r="Q15" s="202"/>
      <c r="R15" s="419"/>
    </row>
    <row r="16" spans="2:19" x14ac:dyDescent="0.35">
      <c r="B16" s="17" t="s">
        <v>193</v>
      </c>
      <c r="L16" s="20"/>
      <c r="M16" s="18"/>
      <c r="N16" s="199"/>
      <c r="O16" s="316"/>
      <c r="P16" s="317"/>
      <c r="Q16" s="202"/>
      <c r="R16" s="420"/>
      <c r="S16" s="129"/>
    </row>
    <row r="17" spans="1:19" s="178" customFormat="1" ht="29.15" customHeight="1" x14ac:dyDescent="0.35">
      <c r="B17" s="178" t="s">
        <v>27</v>
      </c>
      <c r="C17" s="181"/>
      <c r="D17" s="178" t="s">
        <v>191</v>
      </c>
      <c r="E17" s="180" t="s">
        <v>194</v>
      </c>
      <c r="F17" s="180"/>
      <c r="G17" s="180"/>
      <c r="H17" s="195" t="s">
        <v>299</v>
      </c>
      <c r="I17" s="195"/>
      <c r="J17" s="195"/>
      <c r="K17" s="195"/>
      <c r="L17" s="149" t="s">
        <v>190</v>
      </c>
      <c r="M17" s="18"/>
      <c r="N17" s="199"/>
      <c r="O17" s="316"/>
      <c r="P17" s="317"/>
      <c r="Q17" s="202"/>
      <c r="R17" s="420"/>
    </row>
    <row r="18" spans="1:19" s="26" customFormat="1" ht="12.45" customHeight="1" x14ac:dyDescent="0.35">
      <c r="B18" s="103">
        <v>9010070006</v>
      </c>
      <c r="C18" s="82"/>
      <c r="D18" s="139">
        <v>0.6</v>
      </c>
      <c r="E18" s="52">
        <v>1000</v>
      </c>
      <c r="F18" s="52" t="s">
        <v>196</v>
      </c>
      <c r="G18" s="52"/>
      <c r="H18" s="105">
        <v>10.8</v>
      </c>
      <c r="I18" s="105" t="s">
        <v>295</v>
      </c>
      <c r="J18" s="52"/>
      <c r="K18" s="52"/>
      <c r="L18" s="141" t="s">
        <v>192</v>
      </c>
      <c r="M18" s="422">
        <f>(O18+P18+Q18)/100+0.15</f>
        <v>12.09</v>
      </c>
      <c r="N18" s="424">
        <f>((O18+Q18)/100)+0.15</f>
        <v>11.44</v>
      </c>
      <c r="O18" s="426">
        <f>O4</f>
        <v>964</v>
      </c>
      <c r="P18" s="428">
        <f>P4</f>
        <v>65</v>
      </c>
      <c r="Q18" s="434">
        <v>165</v>
      </c>
      <c r="R18" s="420"/>
    </row>
    <row r="19" spans="1:19" s="26" customFormat="1" ht="12.45" customHeight="1" x14ac:dyDescent="0.35">
      <c r="B19" s="103">
        <v>9010070007</v>
      </c>
      <c r="C19" s="82"/>
      <c r="D19" s="139">
        <v>0.7</v>
      </c>
      <c r="E19" s="52">
        <v>1000</v>
      </c>
      <c r="F19" s="52" t="s">
        <v>196</v>
      </c>
      <c r="G19" s="52"/>
      <c r="H19" s="105">
        <v>12.6</v>
      </c>
      <c r="I19" s="105" t="s">
        <v>295</v>
      </c>
      <c r="J19" s="52"/>
      <c r="K19" s="52"/>
      <c r="L19" s="141" t="s">
        <v>192</v>
      </c>
      <c r="M19" s="432"/>
      <c r="N19" s="424">
        <f>(O19+Q19)/100</f>
        <v>9.64</v>
      </c>
      <c r="O19" s="433">
        <f>O18</f>
        <v>964</v>
      </c>
      <c r="P19" s="427">
        <f>P18</f>
        <v>65</v>
      </c>
      <c r="Q19" s="423"/>
      <c r="R19" s="420"/>
    </row>
    <row r="20" spans="1:19" s="26" customFormat="1" ht="6.45" customHeight="1" thickBot="1" x14ac:dyDescent="0.4">
      <c r="B20" s="103"/>
      <c r="C20" s="82"/>
      <c r="D20" s="139"/>
      <c r="E20" s="52"/>
      <c r="F20" s="52"/>
      <c r="G20" s="52"/>
      <c r="H20" s="52"/>
      <c r="I20" s="52"/>
      <c r="J20" s="52"/>
      <c r="K20" s="52"/>
      <c r="L20" s="147"/>
      <c r="O20" s="226"/>
      <c r="P20" s="227"/>
      <c r="R20" s="421"/>
    </row>
    <row r="21" spans="1:19" ht="6.45" customHeight="1" x14ac:dyDescent="0.35">
      <c r="B21" s="57"/>
      <c r="O21" s="228"/>
      <c r="P21" s="228"/>
    </row>
    <row r="22" spans="1:19" x14ac:dyDescent="0.35">
      <c r="B22" s="17" t="s">
        <v>685</v>
      </c>
      <c r="L22" s="20"/>
      <c r="M22" s="21"/>
      <c r="N22" s="21"/>
      <c r="O22" s="22"/>
      <c r="P22" s="129"/>
      <c r="R22" s="22"/>
      <c r="S22" s="129"/>
    </row>
    <row r="23" spans="1:19" s="178" customFormat="1" ht="29.15" customHeight="1" x14ac:dyDescent="0.35">
      <c r="B23" s="178" t="s">
        <v>27</v>
      </c>
      <c r="C23" s="181"/>
      <c r="D23" s="178" t="s">
        <v>191</v>
      </c>
      <c r="E23" s="180" t="s">
        <v>194</v>
      </c>
      <c r="F23" s="180"/>
      <c r="G23" s="180"/>
      <c r="H23" s="195"/>
      <c r="I23" s="195"/>
      <c r="J23" s="195"/>
      <c r="K23" s="195"/>
      <c r="L23" s="149" t="s">
        <v>197</v>
      </c>
      <c r="M23" s="178" t="s">
        <v>531</v>
      </c>
      <c r="N23" s="178" t="s">
        <v>532</v>
      </c>
      <c r="O23" s="178" t="s">
        <v>290</v>
      </c>
      <c r="P23" s="178" t="s">
        <v>292</v>
      </c>
      <c r="Q23" s="178" t="s">
        <v>291</v>
      </c>
      <c r="R23" s="178" t="s">
        <v>533</v>
      </c>
    </row>
    <row r="24" spans="1:19" s="26" customFormat="1" ht="11.6" x14ac:dyDescent="0.35">
      <c r="B24" s="103">
        <v>9010070001</v>
      </c>
      <c r="C24" s="82"/>
      <c r="D24" s="139">
        <v>0.6</v>
      </c>
      <c r="E24" s="52">
        <v>1000</v>
      </c>
      <c r="F24" s="52" t="s">
        <v>196</v>
      </c>
      <c r="G24" s="52"/>
      <c r="H24" s="52"/>
      <c r="I24" s="52"/>
      <c r="J24" s="52"/>
      <c r="K24" s="52"/>
      <c r="L24" s="141" t="s">
        <v>192</v>
      </c>
      <c r="M24" s="422">
        <f>(O24+P24+Q24)/100*R24</f>
        <v>130.572</v>
      </c>
      <c r="N24" s="424">
        <f>(O24+Q24)/100*R24</f>
        <v>123.55200000000001</v>
      </c>
      <c r="O24" s="426">
        <f>O4</f>
        <v>964</v>
      </c>
      <c r="P24" s="428">
        <f>P4</f>
        <v>65</v>
      </c>
      <c r="Q24" s="434">
        <v>180</v>
      </c>
      <c r="R24" s="444">
        <v>10.8</v>
      </c>
    </row>
    <row r="25" spans="1:19" s="26" customFormat="1" ht="6.45" customHeight="1" x14ac:dyDescent="0.35">
      <c r="B25" s="82"/>
      <c r="C25" s="82"/>
      <c r="D25" s="139"/>
      <c r="E25" s="52"/>
      <c r="F25" s="52"/>
      <c r="G25" s="52"/>
      <c r="H25" s="52"/>
      <c r="I25" s="52"/>
      <c r="J25" s="52"/>
      <c r="K25" s="52"/>
      <c r="L25" s="147"/>
      <c r="M25" s="432"/>
      <c r="N25" s="424">
        <f>(O25+Q25)/100</f>
        <v>9.64</v>
      </c>
      <c r="O25" s="433">
        <f>O24</f>
        <v>964</v>
      </c>
      <c r="P25" s="427">
        <f>P24</f>
        <v>65</v>
      </c>
      <c r="Q25" s="423"/>
      <c r="R25" s="445"/>
    </row>
    <row r="26" spans="1:19" s="26" customFormat="1" ht="6.45" customHeight="1" thickBot="1" x14ac:dyDescent="0.4">
      <c r="A26" s="203"/>
      <c r="B26" s="204"/>
      <c r="C26" s="204"/>
      <c r="D26" s="205"/>
      <c r="E26" s="206"/>
      <c r="F26" s="206"/>
      <c r="G26" s="206"/>
      <c r="H26" s="206"/>
      <c r="I26" s="206"/>
      <c r="J26" s="206"/>
      <c r="K26" s="206"/>
      <c r="L26" s="207"/>
      <c r="O26" s="22"/>
      <c r="P26" s="208"/>
    </row>
    <row r="27" spans="1:19" s="26" customFormat="1" ht="10.199999999999999" customHeight="1" x14ac:dyDescent="0.35">
      <c r="B27" s="82"/>
      <c r="C27" s="82"/>
      <c r="D27" s="139"/>
      <c r="E27" s="52"/>
      <c r="F27" s="52"/>
      <c r="G27" s="52"/>
      <c r="H27" s="52"/>
      <c r="I27" s="52"/>
      <c r="J27" s="52"/>
      <c r="K27" s="52"/>
      <c r="L27" s="147"/>
      <c r="O27" s="22"/>
      <c r="P27" s="208"/>
    </row>
    <row r="28" spans="1:19" x14ac:dyDescent="0.35">
      <c r="B28" s="17" t="s">
        <v>686</v>
      </c>
      <c r="L28" s="20"/>
    </row>
    <row r="29" spans="1:19" s="178" customFormat="1" ht="29.15" customHeight="1" x14ac:dyDescent="0.35">
      <c r="B29" s="178" t="s">
        <v>27</v>
      </c>
      <c r="C29" s="181"/>
      <c r="D29" s="178" t="s">
        <v>191</v>
      </c>
      <c r="E29" s="180" t="s">
        <v>194</v>
      </c>
      <c r="F29" s="180"/>
      <c r="G29" s="180" t="s">
        <v>202</v>
      </c>
      <c r="H29" s="195" t="s">
        <v>300</v>
      </c>
      <c r="I29" s="195"/>
      <c r="J29" s="195"/>
      <c r="K29" s="195"/>
      <c r="L29" s="149" t="s">
        <v>190</v>
      </c>
      <c r="M29" s="132"/>
      <c r="N29" s="42" t="s">
        <v>90</v>
      </c>
      <c r="O29" s="209" t="s">
        <v>39</v>
      </c>
      <c r="P29" s="210" t="s">
        <v>40</v>
      </c>
    </row>
    <row r="30" spans="1:19" s="26" customFormat="1" ht="11.6" x14ac:dyDescent="0.35">
      <c r="B30" s="103">
        <v>9020070001</v>
      </c>
      <c r="C30" s="82"/>
      <c r="D30" s="139">
        <v>0.5</v>
      </c>
      <c r="E30" s="52">
        <v>670</v>
      </c>
      <c r="F30" s="52" t="s">
        <v>195</v>
      </c>
      <c r="G30" s="101" t="s">
        <v>521</v>
      </c>
      <c r="H30" s="105">
        <v>95.3</v>
      </c>
      <c r="I30" s="101" t="s">
        <v>295</v>
      </c>
      <c r="J30" s="52"/>
      <c r="K30" s="52"/>
      <c r="L30" s="141">
        <f>($Q$1*M30)*(100%+O30)</f>
        <v>0</v>
      </c>
      <c r="M30" s="132">
        <f>(N30*(100%+P30))</f>
        <v>6.33</v>
      </c>
      <c r="N30" s="318">
        <v>6.33</v>
      </c>
      <c r="O30" s="198">
        <v>0.31</v>
      </c>
      <c r="P30" s="198">
        <v>0</v>
      </c>
    </row>
    <row r="31" spans="1:19" s="45" customFormat="1" ht="11.6" x14ac:dyDescent="0.35">
      <c r="B31" s="83">
        <v>9020070012</v>
      </c>
      <c r="C31" s="42"/>
      <c r="D31" s="42">
        <v>0.5</v>
      </c>
      <c r="E31" s="26">
        <v>800</v>
      </c>
      <c r="F31" s="26" t="s">
        <v>195</v>
      </c>
      <c r="G31" s="105" t="s">
        <v>521</v>
      </c>
      <c r="H31" s="105">
        <v>113.8</v>
      </c>
      <c r="I31" s="105" t="s">
        <v>295</v>
      </c>
      <c r="J31" s="157"/>
      <c r="K31" s="65"/>
      <c r="L31" s="141">
        <f>L30+O31</f>
        <v>0.5</v>
      </c>
      <c r="M31" s="132">
        <f>M30+O31</f>
        <v>6.83</v>
      </c>
      <c r="N31" s="105">
        <f>N30+O31</f>
        <v>6.83</v>
      </c>
      <c r="O31" s="357">
        <v>0.5</v>
      </c>
      <c r="P31" s="198"/>
    </row>
    <row r="32" spans="1:19" s="45" customFormat="1" ht="11.6" x14ac:dyDescent="0.35">
      <c r="B32" s="83">
        <v>9020070002</v>
      </c>
      <c r="C32" s="42"/>
      <c r="D32" s="42">
        <v>0.5</v>
      </c>
      <c r="E32" s="26">
        <v>1000</v>
      </c>
      <c r="F32" s="26" t="s">
        <v>195</v>
      </c>
      <c r="G32" s="105" t="s">
        <v>773</v>
      </c>
      <c r="H32" s="105">
        <v>143.19999999999999</v>
      </c>
      <c r="I32" s="105" t="s">
        <v>295</v>
      </c>
      <c r="J32" s="157"/>
      <c r="K32" s="65"/>
      <c r="L32" s="141">
        <f>($Q$1*M32)*(100%+O32)</f>
        <v>0</v>
      </c>
      <c r="M32" s="132">
        <f>M30</f>
        <v>6.33</v>
      </c>
      <c r="N32" s="105">
        <f>N30</f>
        <v>6.33</v>
      </c>
      <c r="O32" s="198">
        <v>0.31</v>
      </c>
      <c r="P32" s="198"/>
    </row>
    <row r="33" spans="1:19" s="45" customFormat="1" ht="6.65" customHeight="1" x14ac:dyDescent="0.35">
      <c r="B33" s="83"/>
      <c r="C33" s="42"/>
      <c r="D33" s="42"/>
      <c r="E33" s="26"/>
      <c r="F33" s="26"/>
      <c r="G33" s="105"/>
      <c r="H33" s="105"/>
      <c r="I33" s="105"/>
      <c r="J33" s="157"/>
      <c r="K33" s="157"/>
      <c r="L33" s="147"/>
      <c r="M33" s="132"/>
      <c r="N33" s="313"/>
      <c r="O33" s="198"/>
      <c r="P33" s="198"/>
    </row>
    <row r="34" spans="1:19" s="45" customFormat="1" ht="6.45" customHeight="1" x14ac:dyDescent="0.35">
      <c r="B34" s="83"/>
      <c r="C34" s="42"/>
      <c r="D34" s="42"/>
      <c r="E34" s="26"/>
      <c r="F34" s="26"/>
      <c r="G34" s="156"/>
      <c r="H34" s="157"/>
      <c r="I34" s="156"/>
      <c r="J34" s="157"/>
      <c r="K34" s="157"/>
      <c r="L34" s="147"/>
      <c r="M34" s="132"/>
      <c r="N34" s="313"/>
      <c r="O34" s="198"/>
      <c r="P34" s="198"/>
    </row>
    <row r="35" spans="1:19" s="45" customFormat="1" ht="15.75" customHeight="1" x14ac:dyDescent="0.35">
      <c r="B35" s="197" t="s">
        <v>520</v>
      </c>
      <c r="C35" s="42"/>
      <c r="E35" s="26"/>
      <c r="F35" s="26"/>
      <c r="G35" s="180"/>
      <c r="H35" s="195"/>
      <c r="I35" s="156"/>
      <c r="J35" s="157"/>
      <c r="K35" s="157"/>
      <c r="L35" s="147"/>
      <c r="M35" s="132"/>
      <c r="N35" s="313"/>
      <c r="O35" s="198"/>
      <c r="P35" s="198"/>
    </row>
    <row r="36" spans="1:19" s="45" customFormat="1" ht="11.6" x14ac:dyDescent="0.35">
      <c r="B36" s="83">
        <v>9020070011</v>
      </c>
      <c r="C36" s="42"/>
      <c r="D36" s="42">
        <v>0.5</v>
      </c>
      <c r="E36" s="26">
        <v>250</v>
      </c>
      <c r="F36" s="26" t="s">
        <v>195</v>
      </c>
      <c r="G36" s="105" t="s">
        <v>521</v>
      </c>
      <c r="H36" s="105">
        <v>35.6</v>
      </c>
      <c r="I36" s="105" t="s">
        <v>295</v>
      </c>
      <c r="J36" s="157"/>
      <c r="K36" s="65"/>
      <c r="L36" s="141">
        <f>L30+O36</f>
        <v>0.15</v>
      </c>
      <c r="M36" s="132">
        <f>M30+O36</f>
        <v>6.48</v>
      </c>
      <c r="N36" s="105">
        <f>N30+O36</f>
        <v>6.48</v>
      </c>
      <c r="O36" s="356">
        <v>0.15</v>
      </c>
      <c r="P36" s="198"/>
    </row>
    <row r="37" spans="1:19" s="45" customFormat="1" ht="11.6" x14ac:dyDescent="0.35">
      <c r="B37" s="83">
        <v>9020070010</v>
      </c>
      <c r="C37" s="42"/>
      <c r="D37" s="42">
        <v>0.5</v>
      </c>
      <c r="E37" s="26">
        <v>333</v>
      </c>
      <c r="F37" s="26" t="s">
        <v>195</v>
      </c>
      <c r="G37" s="105" t="s">
        <v>521</v>
      </c>
      <c r="H37" s="105">
        <v>47.4</v>
      </c>
      <c r="I37" s="105" t="s">
        <v>295</v>
      </c>
      <c r="J37" s="157"/>
      <c r="K37" s="65"/>
      <c r="L37" s="141">
        <f>L30+O37</f>
        <v>0.15</v>
      </c>
      <c r="M37" s="132">
        <f>M30+O37</f>
        <v>6.48</v>
      </c>
      <c r="N37" s="105">
        <f>N30+O37</f>
        <v>6.48</v>
      </c>
      <c r="O37" s="354">
        <f>O36</f>
        <v>0.15</v>
      </c>
      <c r="P37" s="198"/>
    </row>
    <row r="38" spans="1:19" s="45" customFormat="1" ht="6.45" customHeight="1" x14ac:dyDescent="0.35">
      <c r="B38" s="83"/>
      <c r="C38" s="42"/>
      <c r="D38" s="42"/>
      <c r="E38" s="26"/>
      <c r="F38" s="26"/>
      <c r="G38" s="156"/>
      <c r="H38" s="157"/>
      <c r="I38" s="156"/>
      <c r="J38" s="157"/>
      <c r="K38" s="157"/>
      <c r="L38" s="147"/>
      <c r="M38" s="132"/>
      <c r="N38" s="137"/>
      <c r="O38" s="198"/>
      <c r="P38" s="198"/>
    </row>
    <row r="39" spans="1:19" ht="6.45" customHeight="1" x14ac:dyDescent="0.35">
      <c r="M39" s="132"/>
    </row>
    <row r="40" spans="1:19" x14ac:dyDescent="0.35">
      <c r="B40" s="17" t="s">
        <v>687</v>
      </c>
      <c r="L40" s="20"/>
      <c r="M40" s="132"/>
      <c r="N40" s="21"/>
      <c r="O40" s="22"/>
      <c r="P40" s="129"/>
      <c r="R40" s="22"/>
      <c r="S40" s="129"/>
    </row>
    <row r="41" spans="1:19" s="178" customFormat="1" ht="29.15" customHeight="1" x14ac:dyDescent="0.35">
      <c r="B41" s="178" t="s">
        <v>27</v>
      </c>
      <c r="C41" s="181"/>
      <c r="D41" s="178" t="s">
        <v>191</v>
      </c>
      <c r="E41" s="180" t="s">
        <v>194</v>
      </c>
      <c r="F41" s="180"/>
      <c r="G41" s="180"/>
      <c r="H41" s="195"/>
      <c r="I41" s="195"/>
      <c r="J41" s="195"/>
      <c r="K41" s="195"/>
      <c r="L41" s="149" t="s">
        <v>190</v>
      </c>
      <c r="M41" s="132"/>
      <c r="N41" s="42" t="s">
        <v>90</v>
      </c>
      <c r="O41" s="209" t="s">
        <v>39</v>
      </c>
      <c r="P41" s="210" t="s">
        <v>40</v>
      </c>
    </row>
    <row r="42" spans="1:19" s="26" customFormat="1" ht="11.6" x14ac:dyDescent="0.35">
      <c r="B42" s="103">
        <v>9020070004</v>
      </c>
      <c r="C42" s="82"/>
      <c r="D42" s="139">
        <v>0.5</v>
      </c>
      <c r="E42" s="52">
        <v>1000</v>
      </c>
      <c r="F42" s="52" t="s">
        <v>196</v>
      </c>
      <c r="G42" s="52"/>
      <c r="H42" s="52"/>
      <c r="I42" s="52"/>
      <c r="J42" s="52"/>
      <c r="K42" s="52"/>
      <c r="L42" s="141">
        <f>L30+O42</f>
        <v>0.15</v>
      </c>
      <c r="M42" s="132">
        <f>M30+O42</f>
        <v>6.48</v>
      </c>
      <c r="N42" s="355">
        <f>N30+O42</f>
        <v>6.48</v>
      </c>
      <c r="O42" s="356">
        <v>0.15</v>
      </c>
      <c r="P42" s="198"/>
    </row>
    <row r="43" spans="1:19" s="26" customFormat="1" ht="15" customHeight="1" x14ac:dyDescent="0.35">
      <c r="B43" s="103"/>
      <c r="C43" s="82"/>
      <c r="D43" s="139"/>
      <c r="E43" s="52"/>
      <c r="F43" s="52"/>
      <c r="G43" s="52"/>
      <c r="H43" s="52"/>
      <c r="I43" s="52"/>
      <c r="J43" s="52"/>
      <c r="K43" s="52"/>
      <c r="L43" s="147"/>
      <c r="M43" s="132"/>
      <c r="N43" s="137"/>
      <c r="O43" s="198"/>
      <c r="P43" s="198"/>
    </row>
    <row r="44" spans="1:19" x14ac:dyDescent="0.35">
      <c r="B44" s="17" t="s">
        <v>688</v>
      </c>
      <c r="L44" s="20"/>
      <c r="M44" s="21"/>
      <c r="N44" s="21"/>
      <c r="O44" s="22"/>
      <c r="P44" s="129"/>
      <c r="R44" s="22"/>
      <c r="S44" s="129"/>
    </row>
    <row r="45" spans="1:19" s="178" customFormat="1" ht="29.15" customHeight="1" x14ac:dyDescent="0.35">
      <c r="B45" s="178" t="s">
        <v>27</v>
      </c>
      <c r="C45" s="181"/>
      <c r="D45" s="178" t="s">
        <v>191</v>
      </c>
      <c r="E45" s="180" t="s">
        <v>194</v>
      </c>
      <c r="F45" s="180"/>
      <c r="G45" s="180"/>
      <c r="H45" s="195"/>
      <c r="I45" s="195"/>
      <c r="J45" s="195"/>
      <c r="K45" s="195"/>
      <c r="L45" s="149" t="s">
        <v>197</v>
      </c>
      <c r="M45" s="132"/>
      <c r="N45" s="42" t="s">
        <v>90</v>
      </c>
      <c r="O45" s="209" t="s">
        <v>39</v>
      </c>
      <c r="P45" s="210" t="s">
        <v>40</v>
      </c>
    </row>
    <row r="46" spans="1:19" s="26" customFormat="1" ht="11.6" x14ac:dyDescent="0.35">
      <c r="B46" s="103">
        <v>9020070005</v>
      </c>
      <c r="C46" s="82"/>
      <c r="D46" s="139">
        <v>0.5</v>
      </c>
      <c r="E46" s="52">
        <v>1000</v>
      </c>
      <c r="F46" s="52" t="s">
        <v>196</v>
      </c>
      <c r="G46" s="52"/>
      <c r="H46" s="52"/>
      <c r="I46" s="52"/>
      <c r="J46" s="52"/>
      <c r="K46" s="52"/>
      <c r="L46" s="141">
        <f>($Q$1*M46)*(100%+O46)</f>
        <v>0</v>
      </c>
      <c r="M46" s="132">
        <f>(N46*(100%+P46))</f>
        <v>58.292999999999999</v>
      </c>
      <c r="N46" s="318">
        <v>45.9</v>
      </c>
      <c r="O46" s="198">
        <v>0.42</v>
      </c>
      <c r="P46" s="198">
        <v>0.27</v>
      </c>
    </row>
    <row r="47" spans="1:19" s="26" customFormat="1" ht="5.15" customHeight="1" x14ac:dyDescent="0.35">
      <c r="B47" s="103"/>
      <c r="C47" s="82"/>
      <c r="D47" s="139"/>
      <c r="E47" s="52"/>
      <c r="F47" s="52"/>
      <c r="G47" s="52"/>
      <c r="H47" s="52"/>
      <c r="I47" s="52"/>
      <c r="J47" s="52"/>
      <c r="K47" s="52"/>
      <c r="L47" s="147"/>
      <c r="M47" s="132"/>
      <c r="N47" s="135"/>
      <c r="O47" s="198"/>
      <c r="P47" s="198"/>
    </row>
    <row r="48" spans="1:19" s="26" customFormat="1" ht="5.15" customHeight="1" thickBot="1" x14ac:dyDescent="0.4">
      <c r="A48" s="203"/>
      <c r="B48" s="211"/>
      <c r="C48" s="204"/>
      <c r="D48" s="205"/>
      <c r="E48" s="206"/>
      <c r="F48" s="206"/>
      <c r="G48" s="206"/>
      <c r="H48" s="206"/>
      <c r="I48" s="206"/>
      <c r="J48" s="206"/>
      <c r="K48" s="206"/>
      <c r="L48" s="207"/>
      <c r="M48" s="132"/>
      <c r="N48" s="135"/>
      <c r="O48" s="198"/>
      <c r="P48" s="198"/>
    </row>
    <row r="49" spans="1:18" s="26" customFormat="1" ht="5.15" customHeight="1" x14ac:dyDescent="0.35">
      <c r="B49" s="103"/>
      <c r="C49" s="82"/>
      <c r="D49" s="139"/>
      <c r="E49" s="52"/>
      <c r="F49" s="52"/>
      <c r="G49" s="52"/>
      <c r="H49" s="52"/>
      <c r="I49" s="52"/>
      <c r="J49" s="52"/>
      <c r="K49" s="52"/>
      <c r="L49" s="147"/>
      <c r="M49" s="132"/>
      <c r="N49" s="135"/>
      <c r="O49" s="198"/>
      <c r="P49" s="198"/>
    </row>
    <row r="50" spans="1:18" x14ac:dyDescent="0.35">
      <c r="B50" s="17" t="s">
        <v>774</v>
      </c>
      <c r="L50" s="20"/>
    </row>
    <row r="51" spans="1:18" s="178" customFormat="1" ht="29.15" customHeight="1" x14ac:dyDescent="0.35">
      <c r="B51" s="178" t="s">
        <v>27</v>
      </c>
      <c r="C51" s="181"/>
      <c r="D51" s="178" t="s">
        <v>191</v>
      </c>
      <c r="E51" s="180" t="s">
        <v>194</v>
      </c>
      <c r="F51" s="180"/>
      <c r="G51" s="180" t="s">
        <v>202</v>
      </c>
      <c r="H51" s="195" t="s">
        <v>300</v>
      </c>
      <c r="I51" s="195"/>
      <c r="J51" s="195"/>
      <c r="K51" s="195"/>
      <c r="L51" s="149" t="s">
        <v>190</v>
      </c>
      <c r="M51" s="132"/>
      <c r="N51" s="42" t="s">
        <v>90</v>
      </c>
      <c r="O51" s="209" t="s">
        <v>39</v>
      </c>
      <c r="P51" s="210" t="s">
        <v>40</v>
      </c>
    </row>
    <row r="52" spans="1:18" s="26" customFormat="1" ht="11.6" x14ac:dyDescent="0.35">
      <c r="B52" s="103">
        <v>9020070003</v>
      </c>
      <c r="C52" s="82"/>
      <c r="D52" s="139">
        <v>0.5</v>
      </c>
      <c r="E52" s="52">
        <v>1000</v>
      </c>
      <c r="F52" s="52" t="s">
        <v>195</v>
      </c>
      <c r="G52" s="101" t="s">
        <v>521</v>
      </c>
      <c r="H52" s="105">
        <v>142.19999999999999</v>
      </c>
      <c r="I52" s="101" t="s">
        <v>295</v>
      </c>
      <c r="J52" s="52"/>
      <c r="K52" s="52"/>
      <c r="L52" s="141">
        <f>($Q$1*M52)*(100%+O52)</f>
        <v>0</v>
      </c>
      <c r="M52" s="132">
        <f>(N52*(100%+P52))</f>
        <v>7.48</v>
      </c>
      <c r="N52" s="318">
        <v>7.48</v>
      </c>
      <c r="O52" s="198">
        <v>0.25</v>
      </c>
      <c r="P52" s="198">
        <v>0</v>
      </c>
    </row>
    <row r="53" spans="1:18" s="26" customFormat="1" ht="34.200000000000003" customHeight="1" thickBot="1" x14ac:dyDescent="0.4">
      <c r="A53" s="203"/>
      <c r="B53" s="204"/>
      <c r="C53" s="204"/>
      <c r="D53" s="205"/>
      <c r="E53" s="206"/>
      <c r="F53" s="206"/>
      <c r="G53" s="206"/>
      <c r="H53" s="206"/>
      <c r="I53" s="206"/>
      <c r="J53" s="206"/>
      <c r="K53" s="206"/>
      <c r="L53" s="207"/>
      <c r="O53" s="22"/>
      <c r="P53" s="208"/>
    </row>
    <row r="54" spans="1:18" ht="24.45" customHeight="1" x14ac:dyDescent="0.35">
      <c r="B54" s="17" t="s">
        <v>775</v>
      </c>
      <c r="L54" s="20"/>
    </row>
    <row r="55" spans="1:18" s="178" customFormat="1" ht="22.95" customHeight="1" x14ac:dyDescent="0.35">
      <c r="B55" s="178" t="s">
        <v>27</v>
      </c>
      <c r="C55" s="181"/>
      <c r="D55" s="178" t="s">
        <v>191</v>
      </c>
      <c r="E55" s="180" t="s">
        <v>194</v>
      </c>
      <c r="F55" s="180"/>
      <c r="G55" s="180" t="s">
        <v>202</v>
      </c>
      <c r="H55" s="195" t="s">
        <v>300</v>
      </c>
      <c r="I55" s="195"/>
      <c r="J55" s="195"/>
      <c r="K55" s="195"/>
      <c r="L55" s="149" t="s">
        <v>190</v>
      </c>
      <c r="M55" s="132"/>
      <c r="N55" s="42" t="s">
        <v>90</v>
      </c>
      <c r="O55" s="209" t="s">
        <v>39</v>
      </c>
      <c r="P55" s="210" t="s">
        <v>40</v>
      </c>
    </row>
    <row r="56" spans="1:18" s="26" customFormat="1" ht="11.6" x14ac:dyDescent="0.35">
      <c r="B56" s="103">
        <v>9020070003</v>
      </c>
      <c r="C56" s="82"/>
      <c r="D56" s="139">
        <v>0.5</v>
      </c>
      <c r="E56" s="52">
        <v>1000</v>
      </c>
      <c r="F56" s="52" t="s">
        <v>195</v>
      </c>
      <c r="G56" s="101"/>
      <c r="H56" s="105">
        <v>120</v>
      </c>
      <c r="I56" s="101" t="s">
        <v>295</v>
      </c>
      <c r="J56" s="52"/>
      <c r="K56" s="52"/>
      <c r="L56" s="141">
        <f>($Q$1*M56)*(100%+O56)</f>
        <v>0</v>
      </c>
      <c r="M56" s="132">
        <f>(N56*(100%+P56))</f>
        <v>9.4</v>
      </c>
      <c r="N56" s="318">
        <v>9.4</v>
      </c>
      <c r="O56" s="198">
        <v>0.46</v>
      </c>
      <c r="P56" s="198">
        <v>0</v>
      </c>
    </row>
    <row r="57" spans="1:18" s="26" customFormat="1" ht="22.4" customHeight="1" x14ac:dyDescent="0.35">
      <c r="B57" s="82"/>
      <c r="C57" s="82"/>
      <c r="D57" s="139"/>
      <c r="E57" s="52"/>
      <c r="F57" s="52"/>
      <c r="G57" s="52"/>
      <c r="H57" s="52"/>
      <c r="I57" s="52"/>
      <c r="J57" s="52"/>
      <c r="K57" s="52"/>
      <c r="L57" s="147"/>
      <c r="M57" s="330" t="s">
        <v>764</v>
      </c>
      <c r="O57" s="22"/>
      <c r="P57" s="208"/>
    </row>
    <row r="58" spans="1:18" s="26" customFormat="1" ht="12" thickBot="1" x14ac:dyDescent="0.4">
      <c r="A58" s="203"/>
      <c r="B58" s="204"/>
      <c r="C58" s="204"/>
      <c r="D58" s="205"/>
      <c r="E58" s="206"/>
      <c r="F58" s="206"/>
      <c r="G58" s="206"/>
      <c r="H58" s="206"/>
      <c r="I58" s="206"/>
      <c r="J58" s="206"/>
      <c r="K58" s="206"/>
      <c r="L58" s="207"/>
      <c r="O58" s="22"/>
      <c r="P58" s="208"/>
    </row>
    <row r="59" spans="1:18" ht="6.45" customHeight="1" x14ac:dyDescent="0.35">
      <c r="B59" s="57"/>
    </row>
    <row r="60" spans="1:18" ht="18.45" thickBot="1" x14ac:dyDescent="0.4">
      <c r="B60" s="17" t="s">
        <v>201</v>
      </c>
      <c r="L60" s="20"/>
    </row>
    <row r="61" spans="1:18" s="178" customFormat="1" ht="21.65" customHeight="1" thickBot="1" x14ac:dyDescent="0.4">
      <c r="B61" s="178" t="s">
        <v>27</v>
      </c>
      <c r="C61" s="181"/>
      <c r="D61" s="178" t="s">
        <v>191</v>
      </c>
      <c r="E61" s="180" t="s">
        <v>194</v>
      </c>
      <c r="F61" s="180"/>
      <c r="G61" s="180" t="s">
        <v>202</v>
      </c>
      <c r="H61" s="195" t="s">
        <v>300</v>
      </c>
      <c r="I61" s="195"/>
      <c r="J61" s="195"/>
      <c r="K61" s="195"/>
      <c r="L61" s="149" t="s">
        <v>190</v>
      </c>
      <c r="M61" s="178" t="s">
        <v>293</v>
      </c>
      <c r="N61" s="178" t="s">
        <v>294</v>
      </c>
      <c r="O61" s="178" t="s">
        <v>296</v>
      </c>
      <c r="P61" s="178" t="s">
        <v>292</v>
      </c>
      <c r="Q61" s="178" t="s">
        <v>291</v>
      </c>
      <c r="R61" s="415" t="s">
        <v>562</v>
      </c>
    </row>
    <row r="62" spans="1:18" s="26" customFormat="1" ht="12.45" customHeight="1" x14ac:dyDescent="0.35">
      <c r="B62" s="103">
        <v>9030070001</v>
      </c>
      <c r="C62" s="82"/>
      <c r="D62" s="139">
        <v>0.7</v>
      </c>
      <c r="E62" s="52">
        <v>670</v>
      </c>
      <c r="F62" s="52" t="s">
        <v>195</v>
      </c>
      <c r="G62" s="105" t="s">
        <v>297</v>
      </c>
      <c r="H62" s="105">
        <v>108.1</v>
      </c>
      <c r="I62" s="101" t="s">
        <v>295</v>
      </c>
      <c r="J62" s="52"/>
      <c r="K62" s="52"/>
      <c r="L62" s="141" t="s">
        <v>192</v>
      </c>
      <c r="M62" s="422">
        <f>(O62+P62+Q62)/100</f>
        <v>5.22</v>
      </c>
      <c r="N62" s="424">
        <f>(O62+Q62)/100</f>
        <v>4.97</v>
      </c>
      <c r="O62" s="435">
        <v>370</v>
      </c>
      <c r="P62" s="439">
        <v>25</v>
      </c>
      <c r="Q62" s="430">
        <v>127</v>
      </c>
      <c r="R62" s="416"/>
    </row>
    <row r="63" spans="1:18" s="45" customFormat="1" ht="12.45" customHeight="1" x14ac:dyDescent="0.35">
      <c r="B63" s="83">
        <v>9030070009</v>
      </c>
      <c r="C63" s="42"/>
      <c r="D63" s="42">
        <v>0.7</v>
      </c>
      <c r="E63" s="26">
        <v>800</v>
      </c>
      <c r="F63" s="26" t="s">
        <v>195</v>
      </c>
      <c r="G63" s="105" t="s">
        <v>297</v>
      </c>
      <c r="H63" s="105">
        <v>129</v>
      </c>
      <c r="I63" s="105" t="s">
        <v>295</v>
      </c>
      <c r="J63" s="157"/>
      <c r="K63" s="65"/>
      <c r="L63" s="141" t="s">
        <v>192</v>
      </c>
      <c r="M63" s="423"/>
      <c r="N63" s="425">
        <f>(O63+Q63)/100</f>
        <v>4.58</v>
      </c>
      <c r="O63" s="437">
        <f>O62</f>
        <v>370</v>
      </c>
      <c r="P63" s="440">
        <f>P62</f>
        <v>25</v>
      </c>
      <c r="Q63" s="450">
        <v>88</v>
      </c>
      <c r="R63" s="416"/>
    </row>
    <row r="64" spans="1:18" s="45" customFormat="1" ht="12.45" customHeight="1" thickBot="1" x14ac:dyDescent="0.4">
      <c r="B64" s="83">
        <v>9030070002</v>
      </c>
      <c r="C64" s="42"/>
      <c r="D64" s="42">
        <v>0.7</v>
      </c>
      <c r="E64" s="26">
        <v>1000</v>
      </c>
      <c r="F64" s="26" t="s">
        <v>195</v>
      </c>
      <c r="G64" s="105" t="s">
        <v>772</v>
      </c>
      <c r="H64" s="105">
        <v>157.19999999999999</v>
      </c>
      <c r="I64" s="105" t="s">
        <v>295</v>
      </c>
      <c r="J64" s="157"/>
      <c r="K64" s="65"/>
      <c r="L64" s="141" t="s">
        <v>192</v>
      </c>
      <c r="M64" s="446"/>
      <c r="N64" s="447"/>
      <c r="O64" s="448"/>
      <c r="P64" s="449"/>
      <c r="Q64" s="451"/>
      <c r="R64" s="416"/>
    </row>
    <row r="65" spans="2:19" s="45" customFormat="1" ht="3.45" customHeight="1" x14ac:dyDescent="0.35">
      <c r="B65" s="83"/>
      <c r="C65" s="42"/>
      <c r="D65" s="42"/>
      <c r="E65" s="26"/>
      <c r="F65" s="26"/>
      <c r="G65" s="105"/>
      <c r="H65" s="105"/>
      <c r="I65" s="105"/>
      <c r="J65" s="157"/>
      <c r="K65" s="157"/>
      <c r="L65" s="147"/>
      <c r="M65" s="18"/>
      <c r="N65" s="18"/>
      <c r="O65" s="200"/>
      <c r="P65" s="201"/>
      <c r="Q65" s="212"/>
      <c r="R65" s="416"/>
    </row>
    <row r="66" spans="2:19" s="45" customFormat="1" ht="3.45" customHeight="1" x14ac:dyDescent="0.35">
      <c r="B66" s="83"/>
      <c r="C66" s="42"/>
      <c r="D66" s="42"/>
      <c r="E66" s="26"/>
      <c r="F66" s="26"/>
      <c r="G66" s="105"/>
      <c r="H66" s="105"/>
      <c r="I66" s="105"/>
      <c r="J66" s="157"/>
      <c r="K66" s="157"/>
      <c r="L66" s="147"/>
      <c r="M66" s="18"/>
      <c r="N66" s="18"/>
      <c r="O66" s="200"/>
      <c r="P66" s="201"/>
      <c r="Q66" s="212"/>
      <c r="R66" s="416"/>
    </row>
    <row r="67" spans="2:19" s="45" customFormat="1" ht="15.75" customHeight="1" x14ac:dyDescent="0.35">
      <c r="B67" s="197" t="s">
        <v>520</v>
      </c>
      <c r="C67" s="42"/>
      <c r="E67" s="26"/>
      <c r="F67" s="26"/>
      <c r="G67" s="105"/>
      <c r="H67" s="105"/>
      <c r="I67" s="105"/>
      <c r="J67" s="157"/>
      <c r="K67" s="157"/>
      <c r="L67" s="147"/>
      <c r="M67" s="178" t="s">
        <v>293</v>
      </c>
      <c r="N67" s="178" t="s">
        <v>294</v>
      </c>
      <c r="O67" s="178" t="s">
        <v>296</v>
      </c>
      <c r="P67" s="178" t="s">
        <v>292</v>
      </c>
      <c r="Q67" s="178" t="s">
        <v>291</v>
      </c>
      <c r="R67" s="416"/>
    </row>
    <row r="68" spans="2:19" s="45" customFormat="1" ht="12.45" customHeight="1" x14ac:dyDescent="0.35">
      <c r="B68" s="83">
        <v>9030070007</v>
      </c>
      <c r="C68" s="42"/>
      <c r="D68" s="42">
        <v>0.7</v>
      </c>
      <c r="E68" s="26">
        <v>250</v>
      </c>
      <c r="F68" s="26" t="s">
        <v>195</v>
      </c>
      <c r="G68" s="105" t="s">
        <v>297</v>
      </c>
      <c r="H68" s="105">
        <v>40.299999999999997</v>
      </c>
      <c r="I68" s="101" t="s">
        <v>295</v>
      </c>
      <c r="J68" s="157"/>
      <c r="K68" s="157"/>
      <c r="L68" s="141" t="s">
        <v>192</v>
      </c>
      <c r="M68" s="422">
        <f>((O68+P68+Q68)/100)+0.15</f>
        <v>5.37</v>
      </c>
      <c r="N68" s="424">
        <f>((O68+Q68)/100)+0.15</f>
        <v>5.12</v>
      </c>
      <c r="O68" s="426">
        <f>O62</f>
        <v>370</v>
      </c>
      <c r="P68" s="428">
        <f>P62</f>
        <v>25</v>
      </c>
      <c r="Q68" s="430">
        <v>127</v>
      </c>
      <c r="R68" s="416"/>
    </row>
    <row r="69" spans="2:19" s="45" customFormat="1" ht="12.45" customHeight="1" x14ac:dyDescent="0.35">
      <c r="B69" s="83">
        <v>9030070006</v>
      </c>
      <c r="C69" s="42"/>
      <c r="D69" s="42">
        <v>0.7</v>
      </c>
      <c r="E69" s="26">
        <v>333</v>
      </c>
      <c r="F69" s="26" t="s">
        <v>195</v>
      </c>
      <c r="G69" s="105" t="s">
        <v>297</v>
      </c>
      <c r="H69" s="105">
        <v>53.7</v>
      </c>
      <c r="I69" s="105" t="s">
        <v>295</v>
      </c>
      <c r="J69" s="157"/>
      <c r="K69" s="157"/>
      <c r="L69" s="141" t="s">
        <v>192</v>
      </c>
      <c r="M69" s="423"/>
      <c r="N69" s="425">
        <f>(O69+Q69)/100</f>
        <v>4.58</v>
      </c>
      <c r="O69" s="427">
        <f>O68</f>
        <v>370</v>
      </c>
      <c r="P69" s="429">
        <f>P68</f>
        <v>25</v>
      </c>
      <c r="Q69" s="431">
        <v>88</v>
      </c>
      <c r="R69" s="416"/>
    </row>
    <row r="70" spans="2:19" s="45" customFormat="1" ht="6.45" customHeight="1" x14ac:dyDescent="0.35">
      <c r="B70" s="83"/>
      <c r="C70" s="42"/>
      <c r="D70" s="42"/>
      <c r="E70" s="26"/>
      <c r="F70" s="26"/>
      <c r="G70" s="105"/>
      <c r="H70" s="105"/>
      <c r="I70" s="105"/>
      <c r="J70" s="157"/>
      <c r="K70" s="157"/>
      <c r="L70" s="147"/>
      <c r="M70" s="18"/>
      <c r="N70" s="18"/>
      <c r="O70" s="200"/>
      <c r="P70" s="201"/>
      <c r="Q70" s="212"/>
      <c r="R70" s="416"/>
    </row>
    <row r="71" spans="2:19" s="45" customFormat="1" ht="6.45" customHeight="1" x14ac:dyDescent="0.35">
      <c r="B71" s="23"/>
      <c r="C71" s="42"/>
      <c r="D71" s="42"/>
      <c r="E71" s="26"/>
      <c r="F71" s="26"/>
      <c r="G71" s="156"/>
      <c r="H71" s="157"/>
      <c r="I71" s="156"/>
      <c r="J71" s="157"/>
      <c r="K71" s="157"/>
      <c r="L71" s="147"/>
      <c r="R71" s="416"/>
    </row>
    <row r="72" spans="2:19" x14ac:dyDescent="0.35">
      <c r="B72" s="17" t="s">
        <v>553</v>
      </c>
      <c r="L72" s="20"/>
      <c r="M72" s="21"/>
      <c r="N72" s="21"/>
      <c r="O72" s="22"/>
      <c r="P72" s="129"/>
      <c r="R72" s="416"/>
      <c r="S72" s="129"/>
    </row>
    <row r="73" spans="2:19" s="178" customFormat="1" ht="17.7" customHeight="1" x14ac:dyDescent="0.35">
      <c r="B73" s="178" t="s">
        <v>27</v>
      </c>
      <c r="C73" s="181"/>
      <c r="D73" s="178" t="s">
        <v>191</v>
      </c>
      <c r="E73" s="180" t="s">
        <v>194</v>
      </c>
      <c r="F73" s="180"/>
      <c r="G73" s="180"/>
      <c r="H73" s="195"/>
      <c r="I73" s="195"/>
      <c r="J73" s="195"/>
      <c r="K73" s="195"/>
      <c r="L73" s="149" t="s">
        <v>190</v>
      </c>
      <c r="M73" s="178" t="s">
        <v>293</v>
      </c>
      <c r="N73" s="178" t="s">
        <v>294</v>
      </c>
      <c r="O73" s="178" t="s">
        <v>296</v>
      </c>
      <c r="P73" s="178" t="s">
        <v>292</v>
      </c>
      <c r="Q73" s="178" t="s">
        <v>291</v>
      </c>
      <c r="R73" s="416"/>
    </row>
    <row r="74" spans="2:19" s="26" customFormat="1" ht="12" thickBot="1" x14ac:dyDescent="0.4">
      <c r="B74" s="103">
        <v>9030070008</v>
      </c>
      <c r="C74" s="82"/>
      <c r="D74" s="213">
        <v>0.7</v>
      </c>
      <c r="E74" s="52">
        <v>1000</v>
      </c>
      <c r="F74" s="52" t="s">
        <v>196</v>
      </c>
      <c r="G74" s="52"/>
      <c r="H74" s="52"/>
      <c r="I74" s="52"/>
      <c r="J74" s="52"/>
      <c r="K74" s="52"/>
      <c r="L74" s="141" t="s">
        <v>192</v>
      </c>
      <c r="M74" s="422">
        <f>(O74+P74+Q74)/100+0.1</f>
        <v>5.6199999999999992</v>
      </c>
      <c r="N74" s="424">
        <f>((O74+Q74)/100)+0.1</f>
        <v>5.3699999999999992</v>
      </c>
      <c r="O74" s="426">
        <f>O62</f>
        <v>370</v>
      </c>
      <c r="P74" s="428">
        <f>P62</f>
        <v>25</v>
      </c>
      <c r="Q74" s="430">
        <v>157</v>
      </c>
      <c r="R74" s="417"/>
    </row>
    <row r="75" spans="2:19" s="26" customFormat="1" ht="6.45" customHeight="1" x14ac:dyDescent="0.35">
      <c r="B75" s="103"/>
      <c r="C75" s="82"/>
      <c r="D75" s="213"/>
      <c r="E75" s="52"/>
      <c r="F75" s="52"/>
      <c r="G75" s="52"/>
      <c r="H75" s="52"/>
      <c r="I75" s="52"/>
      <c r="J75" s="52"/>
      <c r="K75" s="52"/>
      <c r="L75" s="147"/>
      <c r="M75" s="423"/>
      <c r="N75" s="425">
        <f>(O75+Q75)/100</f>
        <v>4.58</v>
      </c>
      <c r="O75" s="427">
        <f>O74</f>
        <v>370</v>
      </c>
      <c r="P75" s="429">
        <f>P74</f>
        <v>25</v>
      </c>
      <c r="Q75" s="431">
        <v>88</v>
      </c>
    </row>
    <row r="76" spans="2:19" s="26" customFormat="1" ht="6.45" customHeight="1" x14ac:dyDescent="0.35">
      <c r="B76" s="103"/>
      <c r="C76" s="82"/>
      <c r="D76" s="213"/>
      <c r="E76" s="52"/>
      <c r="F76" s="52"/>
      <c r="G76" s="52"/>
      <c r="H76" s="52"/>
      <c r="I76" s="52"/>
      <c r="J76" s="52"/>
      <c r="K76" s="52"/>
      <c r="L76" s="147"/>
      <c r="M76" s="132"/>
      <c r="N76" s="137"/>
      <c r="O76" s="198"/>
      <c r="P76" s="198"/>
    </row>
    <row r="77" spans="2:19" ht="17.25" customHeight="1" x14ac:dyDescent="0.35"/>
    <row r="78" spans="2:19" x14ac:dyDescent="0.35">
      <c r="B78" s="17" t="s">
        <v>761</v>
      </c>
      <c r="L78" s="20"/>
    </row>
    <row r="79" spans="2:19" s="178" customFormat="1" ht="33.450000000000003" customHeight="1" x14ac:dyDescent="0.35">
      <c r="B79" s="178" t="s">
        <v>27</v>
      </c>
      <c r="C79" s="181"/>
      <c r="D79" s="178" t="s">
        <v>191</v>
      </c>
      <c r="E79" s="180" t="s">
        <v>194</v>
      </c>
      <c r="F79" s="180"/>
      <c r="G79" s="180"/>
      <c r="H79" s="195" t="s">
        <v>300</v>
      </c>
      <c r="I79" s="195"/>
      <c r="J79" s="195"/>
      <c r="K79" s="195"/>
      <c r="L79" s="149" t="s">
        <v>190</v>
      </c>
      <c r="M79" s="132"/>
      <c r="N79" s="42" t="s">
        <v>90</v>
      </c>
      <c r="O79" s="209" t="s">
        <v>39</v>
      </c>
      <c r="P79" s="210" t="s">
        <v>40</v>
      </c>
    </row>
    <row r="80" spans="2:19" s="26" customFormat="1" ht="11.6" x14ac:dyDescent="0.35">
      <c r="B80" s="103">
        <v>9070070001</v>
      </c>
      <c r="C80" s="82"/>
      <c r="D80" s="139">
        <v>0.6</v>
      </c>
      <c r="E80" s="52">
        <v>1000</v>
      </c>
      <c r="F80" s="52" t="s">
        <v>195</v>
      </c>
      <c r="G80" s="52"/>
      <c r="H80" s="105">
        <v>153.6</v>
      </c>
      <c r="I80" s="52"/>
      <c r="J80" s="52"/>
      <c r="K80" s="52"/>
      <c r="L80" s="141">
        <f>($Q$1*M80)*(100%+O80)</f>
        <v>0</v>
      </c>
      <c r="M80" s="132">
        <f>(N80*(100%+P80))</f>
        <v>6.6269999999999998</v>
      </c>
      <c r="N80" s="313">
        <v>5.64</v>
      </c>
      <c r="O80" s="198">
        <v>0.76600000000000001</v>
      </c>
      <c r="P80" s="198">
        <v>0.17499999999999999</v>
      </c>
    </row>
    <row r="81" spans="1:19" s="26" customFormat="1" ht="22" customHeight="1" x14ac:dyDescent="0.35">
      <c r="B81" s="82"/>
      <c r="C81" s="82"/>
      <c r="D81" s="139"/>
      <c r="E81" s="52"/>
      <c r="F81" s="52"/>
      <c r="G81" s="52"/>
      <c r="H81" s="52"/>
      <c r="I81" s="52"/>
      <c r="J81" s="52"/>
      <c r="K81" s="52"/>
      <c r="L81" s="147"/>
      <c r="O81" s="22"/>
      <c r="P81" s="208"/>
    </row>
    <row r="82" spans="1:19" x14ac:dyDescent="0.35">
      <c r="B82" s="17" t="s">
        <v>763</v>
      </c>
      <c r="L82" s="20"/>
    </row>
    <row r="83" spans="1:19" s="178" customFormat="1" ht="33.450000000000003" customHeight="1" x14ac:dyDescent="0.35">
      <c r="B83" s="178" t="s">
        <v>27</v>
      </c>
      <c r="C83" s="181"/>
      <c r="D83" s="178" t="s">
        <v>191</v>
      </c>
      <c r="E83" s="180" t="s">
        <v>194</v>
      </c>
      <c r="F83" s="180"/>
      <c r="G83" s="180"/>
      <c r="H83" s="195" t="s">
        <v>300</v>
      </c>
      <c r="I83" s="195"/>
      <c r="J83" s="195"/>
      <c r="K83" s="195"/>
      <c r="L83" s="149" t="s">
        <v>190</v>
      </c>
      <c r="M83" s="132"/>
      <c r="N83" s="42" t="s">
        <v>90</v>
      </c>
      <c r="O83" s="209" t="s">
        <v>39</v>
      </c>
      <c r="P83" s="210" t="s">
        <v>40</v>
      </c>
    </row>
    <row r="84" spans="1:19" s="26" customFormat="1" ht="11.6" x14ac:dyDescent="0.35">
      <c r="B84" s="103">
        <v>9070070001</v>
      </c>
      <c r="C84" s="82"/>
      <c r="D84" s="139">
        <v>0.6</v>
      </c>
      <c r="E84" s="52">
        <v>1000</v>
      </c>
      <c r="F84" s="52" t="s">
        <v>195</v>
      </c>
      <c r="G84" s="52"/>
      <c r="H84" s="105">
        <v>156</v>
      </c>
      <c r="I84" s="52"/>
      <c r="J84" s="52"/>
      <c r="K84" s="52"/>
      <c r="L84" s="141">
        <f>($Q$1*M84)*(100%+O84)</f>
        <v>0</v>
      </c>
      <c r="M84" s="132">
        <f>(N84*(100%+P84))</f>
        <v>6.7732000000000001</v>
      </c>
      <c r="N84" s="318">
        <v>5.74</v>
      </c>
      <c r="O84" s="198">
        <v>0.79400000000000004</v>
      </c>
      <c r="P84" s="198">
        <v>0.18</v>
      </c>
    </row>
    <row r="85" spans="1:19" s="26" customFormat="1" ht="22" customHeight="1" x14ac:dyDescent="0.35">
      <c r="B85" s="103"/>
      <c r="C85" s="82"/>
      <c r="D85" s="139"/>
      <c r="E85" s="52"/>
      <c r="F85" s="52"/>
      <c r="G85" s="52"/>
      <c r="H85" s="52"/>
      <c r="I85" s="52"/>
      <c r="J85" s="52"/>
      <c r="K85" s="52"/>
      <c r="L85" s="147"/>
      <c r="M85" s="132"/>
      <c r="N85" s="313"/>
      <c r="O85" s="198"/>
      <c r="P85" s="198"/>
    </row>
    <row r="86" spans="1:19" x14ac:dyDescent="0.35">
      <c r="B86" s="17" t="s">
        <v>762</v>
      </c>
      <c r="L86" s="20"/>
      <c r="M86" s="21"/>
      <c r="N86" s="21"/>
      <c r="O86" s="22"/>
      <c r="P86" s="129"/>
      <c r="R86" s="22"/>
      <c r="S86" s="129"/>
    </row>
    <row r="87" spans="1:19" s="178" customFormat="1" ht="19.95" customHeight="1" x14ac:dyDescent="0.35">
      <c r="B87" s="178" t="s">
        <v>27</v>
      </c>
      <c r="C87" s="181"/>
      <c r="D87" s="178" t="s">
        <v>191</v>
      </c>
      <c r="E87" s="180" t="s">
        <v>194</v>
      </c>
      <c r="F87" s="180"/>
      <c r="G87" s="180"/>
      <c r="H87" s="195"/>
      <c r="I87" s="195"/>
      <c r="J87" s="195"/>
      <c r="K87" s="195"/>
      <c r="L87" s="149" t="s">
        <v>190</v>
      </c>
      <c r="M87" s="132"/>
      <c r="N87" s="42" t="s">
        <v>90</v>
      </c>
      <c r="O87" s="209" t="s">
        <v>39</v>
      </c>
      <c r="P87" s="210" t="s">
        <v>40</v>
      </c>
    </row>
    <row r="88" spans="1:19" s="26" customFormat="1" ht="11.6" x14ac:dyDescent="0.35">
      <c r="B88" s="103">
        <v>9070070003</v>
      </c>
      <c r="C88" s="82"/>
      <c r="D88" s="213">
        <v>0.6</v>
      </c>
      <c r="E88" s="52">
        <v>1000</v>
      </c>
      <c r="F88" s="52" t="s">
        <v>196</v>
      </c>
      <c r="G88" s="52"/>
      <c r="H88" s="52"/>
      <c r="I88" s="52"/>
      <c r="J88" s="52"/>
      <c r="K88" s="52"/>
      <c r="L88" s="141">
        <f>($Q$1*M88)*(100%+O88)</f>
        <v>0</v>
      </c>
      <c r="M88" s="132">
        <f>(N88*(100%+P88))</f>
        <v>6.7732000000000001</v>
      </c>
      <c r="N88" s="318">
        <v>5.74</v>
      </c>
      <c r="O88" s="198">
        <v>0.74199999999999999</v>
      </c>
      <c r="P88" s="198">
        <v>0.18</v>
      </c>
    </row>
    <row r="89" spans="1:19" s="26" customFormat="1" ht="15" customHeight="1" thickBot="1" x14ac:dyDescent="0.4">
      <c r="A89" s="203"/>
      <c r="B89" s="204"/>
      <c r="C89" s="204"/>
      <c r="D89" s="205"/>
      <c r="E89" s="206"/>
      <c r="F89" s="206"/>
      <c r="G89" s="206"/>
      <c r="H89" s="206"/>
      <c r="I89" s="206"/>
      <c r="J89" s="206"/>
      <c r="K89" s="206"/>
      <c r="L89" s="207"/>
      <c r="O89" s="22"/>
      <c r="P89" s="208"/>
    </row>
    <row r="90" spans="1:19" s="26" customFormat="1" ht="7.5" customHeight="1" x14ac:dyDescent="0.35">
      <c r="B90" s="82"/>
      <c r="C90" s="82"/>
      <c r="D90" s="139"/>
      <c r="E90" s="52"/>
      <c r="F90" s="52"/>
      <c r="G90" s="52"/>
      <c r="H90" s="52"/>
      <c r="I90" s="52"/>
      <c r="J90" s="52"/>
      <c r="K90" s="52"/>
      <c r="L90" s="147"/>
      <c r="O90" s="22"/>
      <c r="P90" s="208"/>
    </row>
    <row r="91" spans="1:19" ht="15" customHeight="1" x14ac:dyDescent="0.35"/>
    <row r="92" spans="1:19" x14ac:dyDescent="0.35">
      <c r="B92" s="17" t="s">
        <v>689</v>
      </c>
      <c r="L92" s="20"/>
    </row>
    <row r="93" spans="1:19" s="178" customFormat="1" ht="29.15" customHeight="1" x14ac:dyDescent="0.35">
      <c r="B93" s="178" t="s">
        <v>27</v>
      </c>
      <c r="C93" s="181"/>
      <c r="D93" s="178" t="s">
        <v>191</v>
      </c>
      <c r="E93" s="180" t="s">
        <v>194</v>
      </c>
      <c r="F93" s="180"/>
      <c r="G93" s="180"/>
      <c r="H93" s="195"/>
      <c r="I93" s="195"/>
      <c r="J93" s="195"/>
      <c r="K93" s="195"/>
      <c r="L93" s="149" t="s">
        <v>190</v>
      </c>
      <c r="M93" s="132"/>
      <c r="N93" s="42" t="s">
        <v>90</v>
      </c>
      <c r="O93" s="209" t="s">
        <v>39</v>
      </c>
      <c r="P93" s="210" t="s">
        <v>40</v>
      </c>
    </row>
    <row r="94" spans="1:19" s="26" customFormat="1" ht="12.65" customHeight="1" x14ac:dyDescent="0.35">
      <c r="B94" s="103">
        <v>9050070002</v>
      </c>
      <c r="C94" s="82"/>
      <c r="D94" s="139">
        <v>0.8</v>
      </c>
      <c r="E94" s="52">
        <v>1000</v>
      </c>
      <c r="F94" s="52" t="s">
        <v>195</v>
      </c>
      <c r="G94" s="52"/>
      <c r="H94" s="52"/>
      <c r="I94" s="52"/>
      <c r="J94" s="52"/>
      <c r="K94" s="52"/>
      <c r="L94" s="141">
        <f>($Q$1*M94)*(100%+O94)</f>
        <v>0</v>
      </c>
      <c r="M94" s="132">
        <f>(N94*(100%+P94))</f>
        <v>5.79</v>
      </c>
      <c r="N94" s="313">
        <v>5.79</v>
      </c>
      <c r="O94" s="198">
        <v>0.5</v>
      </c>
      <c r="P94" s="198">
        <v>0</v>
      </c>
    </row>
    <row r="95" spans="1:19" s="26" customFormat="1" ht="7.5" customHeight="1" x14ac:dyDescent="0.35">
      <c r="B95" s="82"/>
      <c r="C95" s="82"/>
      <c r="D95" s="139"/>
      <c r="E95" s="52"/>
      <c r="F95" s="52"/>
      <c r="G95" s="52"/>
      <c r="H95" s="52"/>
      <c r="I95" s="52"/>
      <c r="J95" s="52"/>
      <c r="K95" s="52"/>
      <c r="L95" s="147"/>
      <c r="N95" s="332">
        <v>44562</v>
      </c>
      <c r="O95" s="22"/>
      <c r="P95" s="208"/>
    </row>
    <row r="96" spans="1:19" s="26" customFormat="1" ht="7.5" customHeight="1" x14ac:dyDescent="0.35">
      <c r="B96" s="82"/>
      <c r="C96" s="82"/>
      <c r="D96" s="139"/>
      <c r="E96" s="52"/>
      <c r="F96" s="52"/>
      <c r="G96" s="52"/>
      <c r="H96" s="52"/>
      <c r="I96" s="52"/>
      <c r="J96" s="52"/>
      <c r="K96" s="52"/>
      <c r="L96" s="147"/>
      <c r="O96" s="22"/>
      <c r="P96" s="208"/>
    </row>
    <row r="97" spans="2:19" s="26" customFormat="1" ht="7.5" customHeight="1" x14ac:dyDescent="0.35">
      <c r="B97" s="82"/>
      <c r="C97" s="82"/>
      <c r="D97" s="139"/>
      <c r="E97" s="52"/>
      <c r="F97" s="52"/>
      <c r="G97" s="52"/>
      <c r="H97" s="52"/>
      <c r="I97" s="52"/>
      <c r="J97" s="52"/>
      <c r="K97" s="52"/>
      <c r="L97" s="147"/>
      <c r="O97" s="22"/>
      <c r="P97" s="208"/>
    </row>
    <row r="98" spans="2:19" x14ac:dyDescent="0.35">
      <c r="B98" s="17" t="s">
        <v>690</v>
      </c>
      <c r="L98" s="20"/>
      <c r="M98" s="21"/>
      <c r="N98" s="21"/>
      <c r="O98" s="22"/>
      <c r="P98" s="129"/>
      <c r="R98" s="22"/>
      <c r="S98" s="129"/>
    </row>
    <row r="99" spans="2:19" s="178" customFormat="1" ht="29.15" customHeight="1" x14ac:dyDescent="0.35">
      <c r="B99" s="178" t="s">
        <v>27</v>
      </c>
      <c r="C99" s="181"/>
      <c r="D99" s="178" t="s">
        <v>191</v>
      </c>
      <c r="E99" s="180" t="s">
        <v>194</v>
      </c>
      <c r="F99" s="180"/>
      <c r="G99" s="180"/>
      <c r="H99" s="195"/>
      <c r="I99" s="195"/>
      <c r="J99" s="195"/>
      <c r="K99" s="195"/>
      <c r="L99" s="149" t="s">
        <v>190</v>
      </c>
      <c r="M99" s="132"/>
      <c r="N99" s="42" t="s">
        <v>90</v>
      </c>
      <c r="O99" s="209" t="s">
        <v>39</v>
      </c>
      <c r="P99" s="210" t="s">
        <v>40</v>
      </c>
    </row>
    <row r="100" spans="2:19" s="26" customFormat="1" ht="12.65" customHeight="1" x14ac:dyDescent="0.35">
      <c r="B100" s="103">
        <v>9050070003</v>
      </c>
      <c r="C100" s="82"/>
      <c r="D100" s="213">
        <v>1</v>
      </c>
      <c r="E100" s="52">
        <v>1250</v>
      </c>
      <c r="F100" s="52" t="s">
        <v>198</v>
      </c>
      <c r="G100" s="52"/>
      <c r="H100" s="52"/>
      <c r="I100" s="52"/>
      <c r="J100" s="52"/>
      <c r="K100" s="52"/>
      <c r="L100" s="141">
        <f>($Q$1*M100)*(100%+O100)</f>
        <v>0</v>
      </c>
      <c r="M100" s="132">
        <f>(N100*(100%+P100))</f>
        <v>4.8</v>
      </c>
      <c r="N100" s="318">
        <v>4.8</v>
      </c>
      <c r="O100" s="198">
        <v>0.65</v>
      </c>
      <c r="P100" s="198">
        <v>0</v>
      </c>
    </row>
    <row r="101" spans="2:19" ht="12.65" customHeight="1" x14ac:dyDescent="0.35">
      <c r="B101" s="103">
        <v>9050070004</v>
      </c>
      <c r="C101" s="82"/>
      <c r="D101" s="213">
        <v>1.5</v>
      </c>
      <c r="E101" s="52">
        <v>1250</v>
      </c>
      <c r="F101" s="52" t="s">
        <v>198</v>
      </c>
      <c r="G101" s="52"/>
      <c r="H101" s="52"/>
      <c r="I101" s="52"/>
      <c r="J101" s="52"/>
      <c r="K101" s="52"/>
      <c r="L101" s="141">
        <f>($Q$1*M101)*(100%+O101)</f>
        <v>0</v>
      </c>
      <c r="M101" s="132">
        <f>(N101*(100%+P101))</f>
        <v>4.8</v>
      </c>
      <c r="N101" s="318">
        <v>4.8</v>
      </c>
      <c r="O101" s="198">
        <v>0.65</v>
      </c>
      <c r="P101" s="198">
        <v>0</v>
      </c>
    </row>
    <row r="102" spans="2:19" ht="12.65" customHeight="1" x14ac:dyDescent="0.35">
      <c r="B102" s="103">
        <v>9050070008</v>
      </c>
      <c r="C102" s="82"/>
      <c r="D102" s="213">
        <v>2</v>
      </c>
      <c r="E102" s="52">
        <v>1000</v>
      </c>
      <c r="F102" s="52" t="s">
        <v>196</v>
      </c>
      <c r="G102" s="52"/>
      <c r="H102" s="52"/>
      <c r="I102" s="52"/>
      <c r="J102" s="52"/>
      <c r="K102" s="52"/>
      <c r="L102" s="141">
        <f>($Q$1*M102)*(100%+O102)</f>
        <v>0</v>
      </c>
      <c r="M102" s="132">
        <f>(N102*(100%+P102))</f>
        <v>4.8</v>
      </c>
      <c r="N102" s="318">
        <v>4.8</v>
      </c>
      <c r="O102" s="198">
        <v>0.65</v>
      </c>
      <c r="P102" s="198">
        <v>0</v>
      </c>
    </row>
    <row r="103" spans="2:19" ht="12.65" customHeight="1" x14ac:dyDescent="0.35">
      <c r="B103" s="57"/>
      <c r="N103" s="367">
        <v>44866</v>
      </c>
    </row>
    <row r="104" spans="2:19" x14ac:dyDescent="0.35">
      <c r="B104" s="17" t="s">
        <v>691</v>
      </c>
      <c r="L104" s="20"/>
      <c r="M104" s="21"/>
      <c r="N104" s="21"/>
      <c r="O104" s="22"/>
      <c r="P104" s="129"/>
      <c r="R104" s="22"/>
      <c r="S104" s="129"/>
    </row>
    <row r="105" spans="2:19" s="178" customFormat="1" ht="29.15" customHeight="1" x14ac:dyDescent="0.35">
      <c r="B105" s="178" t="s">
        <v>27</v>
      </c>
      <c r="C105" s="181"/>
      <c r="D105" s="178" t="s">
        <v>191</v>
      </c>
      <c r="E105" s="180" t="s">
        <v>194</v>
      </c>
      <c r="F105" s="180"/>
      <c r="G105" s="180"/>
      <c r="H105" s="195"/>
      <c r="I105" s="195"/>
      <c r="J105" s="195"/>
      <c r="K105" s="195"/>
      <c r="L105" s="149" t="s">
        <v>197</v>
      </c>
      <c r="M105" s="132"/>
      <c r="N105" s="42" t="s">
        <v>90</v>
      </c>
      <c r="O105" s="209" t="s">
        <v>39</v>
      </c>
      <c r="P105" s="210" t="s">
        <v>40</v>
      </c>
    </row>
    <row r="106" spans="2:19" s="26" customFormat="1" ht="11.6" x14ac:dyDescent="0.35">
      <c r="B106" s="103">
        <v>9050070005</v>
      </c>
      <c r="C106" s="82"/>
      <c r="D106" s="139">
        <v>0.8</v>
      </c>
      <c r="E106" s="52">
        <v>1000</v>
      </c>
      <c r="F106" s="52" t="s">
        <v>196</v>
      </c>
      <c r="G106" s="52"/>
      <c r="H106" s="52"/>
      <c r="I106" s="52"/>
      <c r="J106" s="52"/>
      <c r="K106" s="52"/>
      <c r="L106" s="141">
        <f>($Q$1*M106)*(100%+O106)</f>
        <v>0</v>
      </c>
      <c r="M106" s="132">
        <f>(N106*(100%+P106))</f>
        <v>34.58</v>
      </c>
      <c r="N106" s="318">
        <v>34.58</v>
      </c>
      <c r="O106" s="198">
        <v>0.55018</v>
      </c>
      <c r="P106" s="198">
        <v>0</v>
      </c>
    </row>
    <row r="107" spans="2:19" s="26" customFormat="1" ht="19.95" customHeight="1" x14ac:dyDescent="0.35">
      <c r="B107" s="82"/>
      <c r="C107" s="82"/>
      <c r="D107" s="139"/>
      <c r="E107" s="52"/>
      <c r="F107" s="52"/>
      <c r="G107" s="52"/>
      <c r="H107" s="52"/>
      <c r="I107" s="52"/>
      <c r="J107" s="52"/>
      <c r="K107" s="52"/>
      <c r="L107" s="147"/>
      <c r="N107" s="333">
        <v>44562</v>
      </c>
      <c r="O107" s="22"/>
      <c r="P107" s="208"/>
    </row>
    <row r="108" spans="2:19" x14ac:dyDescent="0.35">
      <c r="B108" s="17" t="s">
        <v>274</v>
      </c>
      <c r="L108" s="20"/>
      <c r="M108" s="21"/>
      <c r="N108" s="21"/>
      <c r="O108" s="22"/>
      <c r="P108" s="129"/>
      <c r="R108" s="22"/>
      <c r="S108" s="129"/>
    </row>
    <row r="109" spans="2:19" s="178" customFormat="1" ht="29.15" customHeight="1" x14ac:dyDescent="0.35">
      <c r="B109" s="178" t="s">
        <v>27</v>
      </c>
      <c r="C109" s="181"/>
      <c r="D109" s="178" t="s">
        <v>191</v>
      </c>
      <c r="E109" s="180" t="s">
        <v>194</v>
      </c>
      <c r="F109" s="180"/>
      <c r="H109" s="195"/>
      <c r="I109" s="195"/>
      <c r="J109" s="195"/>
      <c r="K109" s="195"/>
      <c r="L109" s="149" t="s">
        <v>190</v>
      </c>
      <c r="M109" s="132"/>
      <c r="N109" s="42" t="s">
        <v>90</v>
      </c>
      <c r="O109" s="209" t="s">
        <v>39</v>
      </c>
      <c r="P109" s="210" t="s">
        <v>40</v>
      </c>
    </row>
    <row r="110" spans="2:19" s="26" customFormat="1" ht="11.6" x14ac:dyDescent="0.35">
      <c r="B110" s="103">
        <v>9050070001</v>
      </c>
      <c r="C110" s="82"/>
      <c r="D110" s="213" t="s">
        <v>275</v>
      </c>
      <c r="E110" s="52">
        <v>1000</v>
      </c>
      <c r="F110" s="52" t="s">
        <v>196</v>
      </c>
      <c r="G110" s="52"/>
      <c r="H110" s="52"/>
      <c r="I110" s="52"/>
      <c r="J110" s="52"/>
      <c r="K110" s="52"/>
      <c r="L110" s="141">
        <f>($Q$1*M110)*(100%+O110)</f>
        <v>0</v>
      </c>
      <c r="M110" s="132">
        <f>(N110*(100%+P110))</f>
        <v>8.58</v>
      </c>
      <c r="N110" s="318">
        <v>7.8</v>
      </c>
      <c r="O110" s="198">
        <v>0.28000000000000003</v>
      </c>
      <c r="P110" s="198">
        <v>0.1</v>
      </c>
    </row>
    <row r="111" spans="2:19" s="26" customFormat="1" ht="20.25" customHeight="1" x14ac:dyDescent="0.35">
      <c r="B111" s="103"/>
      <c r="C111" s="82"/>
      <c r="D111" s="213"/>
      <c r="E111" s="52"/>
      <c r="F111" s="52"/>
      <c r="G111" s="52"/>
      <c r="H111" s="52"/>
      <c r="I111" s="52"/>
      <c r="J111" s="52"/>
      <c r="K111" s="52"/>
      <c r="L111" s="147"/>
      <c r="M111" s="132"/>
      <c r="N111" s="137"/>
      <c r="O111" s="198"/>
      <c r="P111" s="198"/>
    </row>
    <row r="112" spans="2:19" x14ac:dyDescent="0.35">
      <c r="B112" s="17" t="s">
        <v>692</v>
      </c>
      <c r="L112" s="20"/>
    </row>
    <row r="113" spans="2:19" s="178" customFormat="1" ht="29.15" customHeight="1" x14ac:dyDescent="0.35">
      <c r="B113" s="178" t="s">
        <v>27</v>
      </c>
      <c r="C113" s="181"/>
      <c r="D113" s="178" t="s">
        <v>191</v>
      </c>
      <c r="E113" s="180" t="s">
        <v>194</v>
      </c>
      <c r="F113" s="180"/>
      <c r="G113" s="182" t="s">
        <v>137</v>
      </c>
      <c r="H113" s="195"/>
      <c r="I113" s="195"/>
      <c r="J113" s="195"/>
      <c r="K113" s="195"/>
      <c r="L113" s="149" t="s">
        <v>190</v>
      </c>
      <c r="M113" s="132"/>
      <c r="N113" s="42" t="s">
        <v>90</v>
      </c>
      <c r="O113" s="209" t="s">
        <v>39</v>
      </c>
      <c r="P113" s="210" t="s">
        <v>40</v>
      </c>
    </row>
    <row r="114" spans="2:19" s="26" customFormat="1" ht="11.6" x14ac:dyDescent="0.35">
      <c r="B114" s="103">
        <v>9040070013</v>
      </c>
      <c r="C114" s="82"/>
      <c r="D114" s="139">
        <v>0.8</v>
      </c>
      <c r="E114" s="52">
        <v>1000</v>
      </c>
      <c r="F114" s="52" t="s">
        <v>195</v>
      </c>
      <c r="G114" s="52" t="s">
        <v>536</v>
      </c>
      <c r="H114" s="52"/>
      <c r="I114" s="52"/>
      <c r="J114" s="52"/>
      <c r="K114" s="52"/>
      <c r="L114" s="141">
        <f>($Q$1*M114)*(100%+O114)</f>
        <v>0</v>
      </c>
      <c r="M114" s="132">
        <f>(N114*(100%+P114))</f>
        <v>5.25</v>
      </c>
      <c r="N114" s="313">
        <v>5.25</v>
      </c>
      <c r="O114" s="198">
        <v>0.6</v>
      </c>
      <c r="P114" s="198">
        <v>0</v>
      </c>
    </row>
    <row r="115" spans="2:19" s="26" customFormat="1" ht="24.45" customHeight="1" x14ac:dyDescent="0.35">
      <c r="B115" s="103"/>
      <c r="C115" s="82"/>
      <c r="D115" s="139"/>
      <c r="E115" s="52"/>
      <c r="F115" s="52"/>
      <c r="G115" s="52"/>
      <c r="H115" s="52"/>
      <c r="I115" s="52"/>
      <c r="J115" s="52"/>
      <c r="K115" s="52"/>
      <c r="L115" s="147"/>
      <c r="M115" s="132"/>
      <c r="N115" s="137"/>
      <c r="O115" s="198"/>
      <c r="P115" s="198"/>
    </row>
    <row r="116" spans="2:19" x14ac:dyDescent="0.35">
      <c r="B116" s="17" t="s">
        <v>693</v>
      </c>
      <c r="L116" s="20"/>
      <c r="M116" s="21"/>
      <c r="N116" s="21"/>
      <c r="O116" s="22"/>
      <c r="P116" s="129"/>
      <c r="R116" s="22"/>
      <c r="S116" s="129"/>
    </row>
    <row r="117" spans="2:19" s="178" customFormat="1" ht="29.15" customHeight="1" x14ac:dyDescent="0.35">
      <c r="B117" s="178" t="s">
        <v>27</v>
      </c>
      <c r="C117" s="181"/>
      <c r="D117" s="178" t="s">
        <v>191</v>
      </c>
      <c r="E117" s="180" t="s">
        <v>194</v>
      </c>
      <c r="F117" s="180"/>
      <c r="G117" s="182" t="s">
        <v>137</v>
      </c>
      <c r="H117" s="195"/>
      <c r="I117" s="195"/>
      <c r="J117" s="195"/>
      <c r="K117" s="195"/>
      <c r="L117" s="149" t="s">
        <v>197</v>
      </c>
      <c r="M117" s="132"/>
      <c r="N117" s="42" t="s">
        <v>90</v>
      </c>
      <c r="O117" s="209" t="s">
        <v>39</v>
      </c>
      <c r="P117" s="210" t="s">
        <v>40</v>
      </c>
    </row>
    <row r="118" spans="2:19" s="26" customFormat="1" ht="11.6" x14ac:dyDescent="0.35">
      <c r="B118" s="103">
        <v>9040070014</v>
      </c>
      <c r="C118" s="82"/>
      <c r="D118" s="213">
        <v>0.7</v>
      </c>
      <c r="E118" s="52">
        <v>1000</v>
      </c>
      <c r="F118" s="52" t="s">
        <v>196</v>
      </c>
      <c r="G118" s="52" t="s">
        <v>543</v>
      </c>
      <c r="H118" s="52"/>
      <c r="I118" s="52"/>
      <c r="J118" s="52"/>
      <c r="K118" s="52"/>
      <c r="L118" s="141">
        <f>($Q$1*M118)*(100%+O118)</f>
        <v>0</v>
      </c>
      <c r="M118" s="132">
        <f>(N118*(100%+P118))</f>
        <v>37.9</v>
      </c>
      <c r="N118" s="318">
        <v>37.9</v>
      </c>
      <c r="O118" s="198">
        <v>0.39</v>
      </c>
      <c r="P118" s="198">
        <v>0</v>
      </c>
    </row>
    <row r="119" spans="2:19" ht="17.25" customHeight="1" x14ac:dyDescent="0.35">
      <c r="B119" s="103"/>
      <c r="C119" s="82"/>
      <c r="D119" s="213"/>
      <c r="E119" s="52"/>
      <c r="F119" s="52"/>
      <c r="G119" s="52"/>
      <c r="H119" s="52"/>
      <c r="I119" s="52"/>
      <c r="J119" s="52"/>
      <c r="K119" s="52"/>
      <c r="L119" s="147"/>
      <c r="M119" s="132"/>
      <c r="N119" s="137"/>
      <c r="O119" s="214"/>
      <c r="P119" s="214"/>
    </row>
    <row r="120" spans="2:19" x14ac:dyDescent="0.35">
      <c r="B120" s="17" t="s">
        <v>694</v>
      </c>
      <c r="L120" s="20"/>
    </row>
    <row r="121" spans="2:19" s="178" customFormat="1" ht="29.15" customHeight="1" x14ac:dyDescent="0.8">
      <c r="B121" s="178" t="s">
        <v>27</v>
      </c>
      <c r="C121" s="181"/>
      <c r="D121" s="178" t="s">
        <v>191</v>
      </c>
      <c r="E121" s="180" t="s">
        <v>194</v>
      </c>
      <c r="F121" s="180"/>
      <c r="G121" s="182" t="s">
        <v>137</v>
      </c>
      <c r="H121" s="195"/>
      <c r="I121" s="195"/>
      <c r="J121" s="195"/>
      <c r="K121" s="195"/>
      <c r="L121" s="149" t="s">
        <v>190</v>
      </c>
      <c r="M121" s="184" t="s">
        <v>90</v>
      </c>
      <c r="N121" s="215" t="s">
        <v>30</v>
      </c>
      <c r="O121" s="184" t="s">
        <v>161</v>
      </c>
      <c r="P121" s="216"/>
    </row>
    <row r="122" spans="2:19" s="26" customFormat="1" ht="11.6" x14ac:dyDescent="0.35">
      <c r="B122" s="103">
        <v>9040070001</v>
      </c>
      <c r="C122" s="82"/>
      <c r="D122" s="139">
        <v>0.7</v>
      </c>
      <c r="E122" s="52">
        <v>650</v>
      </c>
      <c r="F122" s="52" t="s">
        <v>195</v>
      </c>
      <c r="G122" s="52" t="s">
        <v>129</v>
      </c>
      <c r="H122" s="52"/>
      <c r="I122" s="52"/>
      <c r="J122" s="52"/>
      <c r="K122" s="52"/>
      <c r="L122" s="141">
        <f>($Q$1*O122)</f>
        <v>0</v>
      </c>
      <c r="M122" s="105">
        <f>O122*(100%-N122)</f>
        <v>8.3790000000000013</v>
      </c>
      <c r="N122" s="319">
        <v>0.37</v>
      </c>
      <c r="O122" s="320">
        <v>13.3</v>
      </c>
      <c r="P122" s="208"/>
    </row>
    <row r="123" spans="2:19" s="26" customFormat="1" ht="11.6" x14ac:dyDescent="0.35">
      <c r="B123" s="103">
        <v>9040070004</v>
      </c>
      <c r="C123" s="82"/>
      <c r="D123" s="139">
        <v>0.7</v>
      </c>
      <c r="E123" s="52">
        <v>650</v>
      </c>
      <c r="F123" s="52" t="s">
        <v>195</v>
      </c>
      <c r="G123" s="52" t="s">
        <v>158</v>
      </c>
      <c r="H123" s="52"/>
      <c r="I123" s="52"/>
      <c r="J123" s="52"/>
      <c r="K123" s="52"/>
      <c r="L123" s="141">
        <f>($Q$1*O123)</f>
        <v>0</v>
      </c>
      <c r="M123" s="105">
        <f>O123*(100%-N123)</f>
        <v>8.3790000000000013</v>
      </c>
      <c r="N123" s="319">
        <v>0.37</v>
      </c>
      <c r="O123" s="218">
        <f>O122</f>
        <v>13.3</v>
      </c>
      <c r="P123" s="208"/>
    </row>
    <row r="124" spans="2:19" s="26" customFormat="1" ht="11.6" x14ac:dyDescent="0.35">
      <c r="B124" s="103">
        <v>9040070003</v>
      </c>
      <c r="C124" s="82"/>
      <c r="D124" s="139">
        <v>0.7</v>
      </c>
      <c r="E124" s="52">
        <v>650</v>
      </c>
      <c r="F124" s="52" t="s">
        <v>195</v>
      </c>
      <c r="G124" s="52" t="s">
        <v>272</v>
      </c>
      <c r="H124" s="52"/>
      <c r="I124" s="52"/>
      <c r="J124" s="52"/>
      <c r="K124" s="52"/>
      <c r="L124" s="141">
        <f>($Q$1*O124)</f>
        <v>0</v>
      </c>
      <c r="M124" s="105">
        <f>O124*(100%-N124)</f>
        <v>8.3790000000000013</v>
      </c>
      <c r="N124" s="319">
        <v>0.37</v>
      </c>
      <c r="O124" s="218">
        <f>O122</f>
        <v>13.3</v>
      </c>
      <c r="P124" s="208"/>
    </row>
    <row r="125" spans="2:19" s="26" customFormat="1" ht="11.6" x14ac:dyDescent="0.35">
      <c r="B125" s="87"/>
      <c r="C125" s="100"/>
      <c r="D125" s="89">
        <v>0.7</v>
      </c>
      <c r="E125" s="88">
        <v>650</v>
      </c>
      <c r="F125" s="88" t="s">
        <v>195</v>
      </c>
      <c r="G125" s="88" t="s">
        <v>273</v>
      </c>
      <c r="H125" s="88"/>
      <c r="I125" s="88"/>
      <c r="J125" s="88"/>
      <c r="K125" s="88"/>
      <c r="L125" s="145">
        <f>($Q$1*O125)</f>
        <v>0</v>
      </c>
      <c r="M125" s="105">
        <f>O125*(100%-N125)</f>
        <v>8.3790000000000013</v>
      </c>
      <c r="N125" s="319">
        <v>0.37</v>
      </c>
      <c r="O125" s="218">
        <f>O122</f>
        <v>13.3</v>
      </c>
      <c r="P125" s="208"/>
    </row>
    <row r="126" spans="2:19" s="26" customFormat="1" ht="6.45" customHeight="1" x14ac:dyDescent="0.35">
      <c r="B126" s="87"/>
      <c r="C126" s="100"/>
      <c r="D126" s="89"/>
      <c r="E126" s="88"/>
      <c r="F126" s="88"/>
      <c r="G126" s="88"/>
      <c r="H126" s="88"/>
      <c r="I126" s="88"/>
      <c r="J126" s="88"/>
      <c r="K126" s="88"/>
      <c r="L126" s="187"/>
      <c r="M126" s="105"/>
      <c r="N126" s="319"/>
      <c r="O126" s="218"/>
      <c r="P126" s="208"/>
    </row>
    <row r="127" spans="2:19" s="26" customFormat="1" ht="6.45" customHeight="1" x14ac:dyDescent="0.35">
      <c r="B127" s="103"/>
      <c r="C127" s="82"/>
      <c r="D127" s="139"/>
      <c r="E127" s="52"/>
      <c r="F127" s="52"/>
      <c r="G127" s="88"/>
      <c r="H127" s="52"/>
      <c r="I127" s="52"/>
      <c r="J127" s="52"/>
      <c r="K127" s="52"/>
      <c r="L127" s="147"/>
      <c r="M127" s="105"/>
      <c r="N127" s="319"/>
      <c r="O127" s="85"/>
      <c r="P127" s="208"/>
    </row>
    <row r="128" spans="2:19" s="52" customFormat="1" ht="12.45" customHeight="1" x14ac:dyDescent="0.35">
      <c r="B128" s="103">
        <v>9040070005</v>
      </c>
      <c r="C128" s="82"/>
      <c r="D128" s="139">
        <v>0.7</v>
      </c>
      <c r="E128" s="52">
        <v>1000</v>
      </c>
      <c r="F128" s="52" t="s">
        <v>195</v>
      </c>
      <c r="G128" s="52" t="s">
        <v>129</v>
      </c>
      <c r="L128" s="141">
        <f>($Q$1*O128)</f>
        <v>0</v>
      </c>
      <c r="M128" s="105">
        <f>O128*(100%-N128)</f>
        <v>8.3790000000000013</v>
      </c>
      <c r="N128" s="319">
        <v>0.37</v>
      </c>
      <c r="O128" s="320">
        <v>13.3</v>
      </c>
      <c r="P128" s="219"/>
    </row>
    <row r="129" spans="2:19" s="52" customFormat="1" ht="12.45" customHeight="1" x14ac:dyDescent="0.35">
      <c r="B129" s="103">
        <v>9040070007</v>
      </c>
      <c r="C129" s="82"/>
      <c r="D129" s="139">
        <v>0.7</v>
      </c>
      <c r="E129" s="52">
        <v>1000</v>
      </c>
      <c r="F129" s="52" t="s">
        <v>195</v>
      </c>
      <c r="G129" s="52" t="s">
        <v>158</v>
      </c>
      <c r="L129" s="141">
        <f>($Q$1*O129)</f>
        <v>0</v>
      </c>
      <c r="M129" s="105">
        <f>O129*(100%-N129)</f>
        <v>8.3790000000000013</v>
      </c>
      <c r="N129" s="319">
        <v>0.37</v>
      </c>
      <c r="O129" s="218">
        <f>O128</f>
        <v>13.3</v>
      </c>
      <c r="P129" s="219"/>
    </row>
    <row r="130" spans="2:19" s="52" customFormat="1" ht="12.45" customHeight="1" x14ac:dyDescent="0.35">
      <c r="B130" s="103">
        <v>9040070008</v>
      </c>
      <c r="C130" s="82"/>
      <c r="D130" s="139">
        <v>0.7</v>
      </c>
      <c r="E130" s="52">
        <v>1000</v>
      </c>
      <c r="F130" s="52" t="s">
        <v>195</v>
      </c>
      <c r="G130" s="52" t="s">
        <v>273</v>
      </c>
      <c r="L130" s="141">
        <f>($Q$1*O130)</f>
        <v>0</v>
      </c>
      <c r="M130" s="105">
        <f>O130*(100%-N130)</f>
        <v>8.3790000000000013</v>
      </c>
      <c r="N130" s="319">
        <v>0.37</v>
      </c>
      <c r="O130" s="218">
        <f>O128</f>
        <v>13.3</v>
      </c>
      <c r="P130" s="219"/>
    </row>
    <row r="131" spans="2:19" s="52" customFormat="1" ht="12.45" customHeight="1" x14ac:dyDescent="0.35">
      <c r="B131" s="103">
        <v>9040070006</v>
      </c>
      <c r="C131" s="82"/>
      <c r="D131" s="139">
        <v>0.7</v>
      </c>
      <c r="E131" s="52">
        <v>1000</v>
      </c>
      <c r="F131" s="52" t="s">
        <v>195</v>
      </c>
      <c r="G131" s="52" t="s">
        <v>272</v>
      </c>
      <c r="L131" s="141">
        <f>($Q$1*O131)</f>
        <v>0</v>
      </c>
      <c r="M131" s="105">
        <f>O131*(100%-N131)</f>
        <v>8.3790000000000013</v>
      </c>
      <c r="N131" s="319">
        <v>0.37</v>
      </c>
      <c r="O131" s="218">
        <f>O128</f>
        <v>13.3</v>
      </c>
      <c r="P131" s="219"/>
    </row>
    <row r="132" spans="2:19" s="52" customFormat="1" ht="15" customHeight="1" x14ac:dyDescent="0.35">
      <c r="B132" s="82"/>
      <c r="C132" s="82"/>
      <c r="D132" s="139"/>
      <c r="L132" s="147"/>
      <c r="M132" s="105"/>
      <c r="N132" s="217"/>
      <c r="O132" s="85"/>
      <c r="P132" s="219"/>
    </row>
    <row r="133" spans="2:19" x14ac:dyDescent="0.35">
      <c r="B133" s="17" t="s">
        <v>695</v>
      </c>
      <c r="L133" s="20"/>
    </row>
    <row r="134" spans="2:19" ht="2.9" customHeight="1" x14ac:dyDescent="0.35">
      <c r="L134" s="21"/>
    </row>
    <row r="135" spans="2:19" s="178" customFormat="1" ht="29.15" customHeight="1" x14ac:dyDescent="0.8">
      <c r="B135" s="178" t="s">
        <v>27</v>
      </c>
      <c r="C135" s="181"/>
      <c r="D135" s="178" t="s">
        <v>191</v>
      </c>
      <c r="E135" s="180" t="s">
        <v>194</v>
      </c>
      <c r="F135" s="180"/>
      <c r="G135" s="182" t="s">
        <v>137</v>
      </c>
      <c r="H135" s="195"/>
      <c r="I135" s="195"/>
      <c r="J135" s="195"/>
      <c r="K135" s="195"/>
      <c r="L135" s="149" t="s">
        <v>190</v>
      </c>
      <c r="M135" s="184" t="s">
        <v>90</v>
      </c>
      <c r="N135" s="215" t="s">
        <v>30</v>
      </c>
      <c r="O135" s="184" t="s">
        <v>161</v>
      </c>
      <c r="P135" s="216"/>
    </row>
    <row r="136" spans="2:19" s="26" customFormat="1" ht="11.6" x14ac:dyDescent="0.35">
      <c r="B136" s="103">
        <v>9040070002</v>
      </c>
      <c r="C136" s="82"/>
      <c r="D136" s="139">
        <v>0.7</v>
      </c>
      <c r="E136" s="52">
        <v>650</v>
      </c>
      <c r="F136" s="52" t="s">
        <v>195</v>
      </c>
      <c r="G136" s="52" t="s">
        <v>129</v>
      </c>
      <c r="H136" s="52"/>
      <c r="I136" s="52"/>
      <c r="J136" s="52"/>
      <c r="K136" s="52"/>
      <c r="L136" s="141">
        <f>($Q$1*O136)</f>
        <v>0</v>
      </c>
      <c r="M136" s="105">
        <f>O136*(100%-N136)</f>
        <v>8.3790000000000013</v>
      </c>
      <c r="N136" s="319">
        <v>0.37</v>
      </c>
      <c r="O136" s="320">
        <v>13.3</v>
      </c>
      <c r="P136" s="208"/>
    </row>
    <row r="137" spans="2:19" s="26" customFormat="1" ht="11.6" x14ac:dyDescent="0.35">
      <c r="B137" s="87"/>
      <c r="C137" s="100"/>
      <c r="D137" s="89">
        <v>0.7</v>
      </c>
      <c r="E137" s="88">
        <v>650</v>
      </c>
      <c r="F137" s="88" t="s">
        <v>195</v>
      </c>
      <c r="G137" s="88" t="s">
        <v>158</v>
      </c>
      <c r="H137" s="88"/>
      <c r="I137" s="88"/>
      <c r="J137" s="88"/>
      <c r="K137" s="88"/>
      <c r="L137" s="145">
        <f>($Q$1*O137)</f>
        <v>0</v>
      </c>
      <c r="M137" s="105">
        <f>O137*(100%-N137)</f>
        <v>8.3790000000000013</v>
      </c>
      <c r="N137" s="319">
        <v>0.37</v>
      </c>
      <c r="O137" s="218">
        <f>O136</f>
        <v>13.3</v>
      </c>
      <c r="P137" s="208"/>
    </row>
    <row r="138" spans="2:19" s="26" customFormat="1" ht="11.6" x14ac:dyDescent="0.35">
      <c r="B138" s="87"/>
      <c r="C138" s="100"/>
      <c r="D138" s="89">
        <v>0.7</v>
      </c>
      <c r="E138" s="88">
        <v>650</v>
      </c>
      <c r="F138" s="88" t="s">
        <v>195</v>
      </c>
      <c r="G138" s="88" t="s">
        <v>272</v>
      </c>
      <c r="H138" s="88"/>
      <c r="I138" s="88"/>
      <c r="J138" s="88"/>
      <c r="K138" s="88"/>
      <c r="L138" s="145">
        <f>($Q$1*O138)</f>
        <v>0</v>
      </c>
      <c r="M138" s="105">
        <f>O138*(100%-N138)</f>
        <v>8.3790000000000013</v>
      </c>
      <c r="N138" s="319">
        <v>0.37</v>
      </c>
      <c r="O138" s="218">
        <f>O136</f>
        <v>13.3</v>
      </c>
      <c r="P138" s="208"/>
    </row>
    <row r="139" spans="2:19" s="26" customFormat="1" ht="11.6" x14ac:dyDescent="0.35">
      <c r="B139" s="87"/>
      <c r="C139" s="100"/>
      <c r="D139" s="89">
        <v>0.7</v>
      </c>
      <c r="E139" s="88">
        <v>650</v>
      </c>
      <c r="F139" s="88" t="s">
        <v>195</v>
      </c>
      <c r="G139" s="88" t="s">
        <v>273</v>
      </c>
      <c r="H139" s="88"/>
      <c r="I139" s="88"/>
      <c r="J139" s="88"/>
      <c r="K139" s="88"/>
      <c r="L139" s="145">
        <f>($Q$1*O139)</f>
        <v>0</v>
      </c>
      <c r="M139" s="105">
        <f>O139*(100%-N139)</f>
        <v>8.3790000000000013</v>
      </c>
      <c r="N139" s="319">
        <v>0.37</v>
      </c>
      <c r="O139" s="218">
        <f>O136</f>
        <v>13.3</v>
      </c>
      <c r="P139" s="208"/>
    </row>
    <row r="140" spans="2:19" s="26" customFormat="1" ht="6.45" customHeight="1" x14ac:dyDescent="0.35">
      <c r="B140" s="82"/>
      <c r="C140" s="82"/>
      <c r="D140" s="139"/>
      <c r="E140" s="52"/>
      <c r="F140" s="52"/>
      <c r="G140" s="88"/>
      <c r="H140" s="52"/>
      <c r="I140" s="52"/>
      <c r="J140" s="52"/>
      <c r="K140" s="52"/>
      <c r="L140" s="147"/>
      <c r="M140" s="105"/>
      <c r="N140" s="217"/>
      <c r="O140" s="85"/>
      <c r="P140" s="208"/>
    </row>
    <row r="141" spans="2:19" ht="6.45" customHeight="1" x14ac:dyDescent="0.35"/>
    <row r="142" spans="2:19" x14ac:dyDescent="0.35">
      <c r="B142" s="17" t="s">
        <v>696</v>
      </c>
      <c r="L142" s="20"/>
      <c r="M142" s="21"/>
      <c r="N142" s="21"/>
      <c r="O142" s="22"/>
      <c r="P142" s="129"/>
      <c r="R142" s="22"/>
      <c r="S142" s="129"/>
    </row>
    <row r="143" spans="2:19" s="178" customFormat="1" ht="29.15" customHeight="1" x14ac:dyDescent="0.8">
      <c r="B143" s="178" t="s">
        <v>27</v>
      </c>
      <c r="C143" s="181"/>
      <c r="D143" s="178" t="s">
        <v>191</v>
      </c>
      <c r="E143" s="180" t="s">
        <v>194</v>
      </c>
      <c r="F143" s="180"/>
      <c r="G143" s="180" t="s">
        <v>137</v>
      </c>
      <c r="H143" s="195"/>
      <c r="I143" s="195"/>
      <c r="J143" s="195"/>
      <c r="K143" s="195"/>
      <c r="L143" s="149" t="s">
        <v>190</v>
      </c>
      <c r="M143" s="184" t="s">
        <v>90</v>
      </c>
      <c r="N143" s="215" t="s">
        <v>30</v>
      </c>
      <c r="O143" s="184" t="s">
        <v>161</v>
      </c>
      <c r="P143" s="216"/>
    </row>
    <row r="144" spans="2:19" s="26" customFormat="1" ht="11.6" x14ac:dyDescent="0.35">
      <c r="B144" s="103">
        <v>9040070009</v>
      </c>
      <c r="C144" s="82"/>
      <c r="D144" s="213">
        <v>0.7</v>
      </c>
      <c r="E144" s="52">
        <v>1000</v>
      </c>
      <c r="F144" s="52" t="s">
        <v>196</v>
      </c>
      <c r="G144" s="52" t="s">
        <v>129</v>
      </c>
      <c r="H144" s="52"/>
      <c r="I144" s="52"/>
      <c r="J144" s="52"/>
      <c r="K144" s="52"/>
      <c r="L144" s="141">
        <f>($Q$1*O144)</f>
        <v>0</v>
      </c>
      <c r="M144" s="105">
        <f>O144*(100%-N144)</f>
        <v>8.7884999999999991</v>
      </c>
      <c r="N144" s="319">
        <v>0.37</v>
      </c>
      <c r="O144" s="320">
        <v>13.95</v>
      </c>
      <c r="P144" s="208"/>
    </row>
    <row r="145" spans="1:19" s="26" customFormat="1" ht="11.6" x14ac:dyDescent="0.35">
      <c r="B145" s="103">
        <v>9040070011</v>
      </c>
      <c r="C145" s="82"/>
      <c r="D145" s="213">
        <v>0.7</v>
      </c>
      <c r="E145" s="52">
        <v>1000</v>
      </c>
      <c r="F145" s="52" t="s">
        <v>196</v>
      </c>
      <c r="G145" s="52" t="s">
        <v>158</v>
      </c>
      <c r="H145" s="52"/>
      <c r="I145" s="52"/>
      <c r="J145" s="52"/>
      <c r="K145" s="52"/>
      <c r="L145" s="141">
        <f>($Q$1*O145)</f>
        <v>0</v>
      </c>
      <c r="M145" s="105">
        <f>O145*(100%-N145)</f>
        <v>8.7884999999999991</v>
      </c>
      <c r="N145" s="319">
        <v>0.37</v>
      </c>
      <c r="O145" s="218">
        <f>O144</f>
        <v>13.95</v>
      </c>
      <c r="P145" s="208"/>
    </row>
    <row r="146" spans="1:19" s="26" customFormat="1" ht="11.6" x14ac:dyDescent="0.35">
      <c r="B146" s="103">
        <v>9040070010</v>
      </c>
      <c r="C146" s="82"/>
      <c r="D146" s="213">
        <v>0.7</v>
      </c>
      <c r="E146" s="52">
        <v>1000</v>
      </c>
      <c r="F146" s="52" t="s">
        <v>196</v>
      </c>
      <c r="G146" s="52" t="s">
        <v>272</v>
      </c>
      <c r="H146" s="52"/>
      <c r="I146" s="52"/>
      <c r="J146" s="52"/>
      <c r="K146" s="52"/>
      <c r="L146" s="141">
        <f>($Q$1*O146)</f>
        <v>0</v>
      </c>
      <c r="M146" s="105">
        <f>O146*(100%-N146)</f>
        <v>8.7884999999999991</v>
      </c>
      <c r="N146" s="319">
        <v>0.37</v>
      </c>
      <c r="O146" s="218">
        <f>O144</f>
        <v>13.95</v>
      </c>
      <c r="P146" s="208"/>
    </row>
    <row r="147" spans="1:19" s="26" customFormat="1" ht="11.6" x14ac:dyDescent="0.35">
      <c r="B147" s="103">
        <v>9040070015</v>
      </c>
      <c r="C147" s="82"/>
      <c r="D147" s="213">
        <v>0.7</v>
      </c>
      <c r="E147" s="52">
        <v>1000</v>
      </c>
      <c r="F147" s="52" t="s">
        <v>196</v>
      </c>
      <c r="G147" s="52" t="s">
        <v>273</v>
      </c>
      <c r="H147" s="52"/>
      <c r="I147" s="52"/>
      <c r="J147" s="52"/>
      <c r="K147" s="52"/>
      <c r="L147" s="141">
        <f>($Q$1*O147)</f>
        <v>0</v>
      </c>
      <c r="M147" s="105">
        <f>O147*(100%-N147)</f>
        <v>8.7884999999999991</v>
      </c>
      <c r="N147" s="319">
        <v>0.37</v>
      </c>
      <c r="O147" s="218">
        <f>O144</f>
        <v>13.95</v>
      </c>
      <c r="P147" s="208"/>
    </row>
    <row r="148" spans="1:19" s="26" customFormat="1" ht="7.5" customHeight="1" thickBot="1" x14ac:dyDescent="0.4">
      <c r="A148" s="203"/>
      <c r="B148" s="220"/>
      <c r="C148" s="220"/>
      <c r="D148" s="221"/>
      <c r="E148" s="222"/>
      <c r="F148" s="222"/>
      <c r="G148" s="222"/>
      <c r="H148" s="222"/>
      <c r="I148" s="222"/>
      <c r="J148" s="222"/>
      <c r="K148" s="222"/>
      <c r="L148" s="223"/>
      <c r="M148" s="105"/>
      <c r="N148" s="217"/>
      <c r="O148" s="218"/>
      <c r="P148" s="208"/>
    </row>
    <row r="149" spans="1:19" s="26" customFormat="1" ht="7.5" customHeight="1" x14ac:dyDescent="0.35">
      <c r="B149" s="82"/>
      <c r="C149" s="82"/>
      <c r="D149" s="213"/>
      <c r="E149" s="52"/>
      <c r="F149" s="52"/>
      <c r="G149" s="52" t="s">
        <v>97</v>
      </c>
      <c r="H149" s="52"/>
      <c r="I149" s="52"/>
      <c r="J149" s="52"/>
      <c r="K149" s="52"/>
      <c r="L149" s="147"/>
      <c r="O149" s="22"/>
      <c r="P149" s="208"/>
    </row>
    <row r="150" spans="1:19" x14ac:dyDescent="0.35">
      <c r="B150" s="17" t="s">
        <v>697</v>
      </c>
      <c r="L150" s="20"/>
    </row>
    <row r="151" spans="1:19" s="178" customFormat="1" ht="28.95" customHeight="1" x14ac:dyDescent="0.35">
      <c r="B151" s="178" t="s">
        <v>27</v>
      </c>
      <c r="C151" s="181"/>
      <c r="D151" s="178" t="s">
        <v>191</v>
      </c>
      <c r="E151" s="180" t="s">
        <v>194</v>
      </c>
      <c r="F151" s="180"/>
      <c r="G151" s="180" t="s">
        <v>137</v>
      </c>
      <c r="H151" s="195"/>
      <c r="I151" s="195"/>
      <c r="J151" s="195"/>
      <c r="K151" s="195"/>
      <c r="L151" s="149" t="s">
        <v>190</v>
      </c>
      <c r="M151" s="132"/>
      <c r="N151" s="42" t="s">
        <v>90</v>
      </c>
      <c r="O151" s="209" t="s">
        <v>39</v>
      </c>
      <c r="P151" s="210" t="s">
        <v>40</v>
      </c>
    </row>
    <row r="152" spans="1:19" s="26" customFormat="1" ht="11.6" x14ac:dyDescent="0.35">
      <c r="B152" s="103">
        <v>9060070001</v>
      </c>
      <c r="C152" s="82"/>
      <c r="D152" s="139">
        <v>0.63</v>
      </c>
      <c r="E152" s="52">
        <v>1250</v>
      </c>
      <c r="F152" s="52" t="s">
        <v>195</v>
      </c>
      <c r="G152" s="52" t="s">
        <v>199</v>
      </c>
      <c r="H152" s="52"/>
      <c r="I152" s="52"/>
      <c r="J152" s="52"/>
      <c r="K152" s="52"/>
      <c r="L152" s="141">
        <f>($Q$1*M152)*(100%+O152)</f>
        <v>0</v>
      </c>
      <c r="M152" s="132">
        <f>(N152*(100%+P152))</f>
        <v>2.9370000000000003</v>
      </c>
      <c r="N152" s="313">
        <v>2.67</v>
      </c>
      <c r="O152" s="198">
        <v>0.35</v>
      </c>
      <c r="P152" s="198">
        <v>0.1</v>
      </c>
    </row>
    <row r="153" spans="1:19" s="26" customFormat="1" ht="11.6" x14ac:dyDescent="0.35">
      <c r="B153" s="87">
        <v>9060070002</v>
      </c>
      <c r="C153" s="100"/>
      <c r="D153" s="89">
        <v>0.75</v>
      </c>
      <c r="E153" s="88">
        <v>1250</v>
      </c>
      <c r="F153" s="88" t="s">
        <v>195</v>
      </c>
      <c r="G153" s="88" t="s">
        <v>199</v>
      </c>
      <c r="H153" s="88"/>
      <c r="I153" s="88"/>
      <c r="J153" s="88"/>
      <c r="K153" s="88"/>
      <c r="L153" s="145">
        <f>($Q$1*M153)*(100%+O153)</f>
        <v>0</v>
      </c>
      <c r="M153" s="132">
        <f>(N153*(100%+P153))</f>
        <v>2.9370000000000003</v>
      </c>
      <c r="N153" s="101">
        <f>N152</f>
        <v>2.67</v>
      </c>
      <c r="O153" s="198">
        <v>0.35</v>
      </c>
      <c r="P153" s="198">
        <f>P152</f>
        <v>0.1</v>
      </c>
    </row>
    <row r="154" spans="1:19" s="26" customFormat="1" ht="17.25" customHeight="1" x14ac:dyDescent="0.35">
      <c r="B154" s="82"/>
      <c r="C154" s="82"/>
      <c r="D154" s="139"/>
      <c r="E154" s="52"/>
      <c r="F154" s="52"/>
      <c r="G154" s="52"/>
      <c r="H154" s="52"/>
      <c r="I154" s="52"/>
      <c r="J154" s="52"/>
      <c r="K154" s="52"/>
      <c r="L154" s="147"/>
      <c r="O154" s="22"/>
      <c r="P154" s="208"/>
    </row>
    <row r="155" spans="1:19" s="26" customFormat="1" ht="7.2" customHeight="1" x14ac:dyDescent="0.35">
      <c r="B155" s="82"/>
      <c r="C155" s="82"/>
      <c r="D155" s="139"/>
      <c r="E155" s="52"/>
      <c r="F155" s="52"/>
      <c r="G155" s="52"/>
      <c r="H155" s="52"/>
      <c r="I155" s="52"/>
      <c r="J155" s="52"/>
      <c r="K155" s="52"/>
      <c r="L155" s="147"/>
      <c r="O155" s="22"/>
      <c r="P155" s="208"/>
    </row>
    <row r="156" spans="1:19" x14ac:dyDescent="0.35">
      <c r="B156" s="17" t="s">
        <v>698</v>
      </c>
      <c r="L156" s="20"/>
      <c r="M156" s="21"/>
      <c r="N156" s="21"/>
      <c r="O156" s="22"/>
      <c r="P156" s="129"/>
      <c r="R156" s="22"/>
      <c r="S156" s="129"/>
    </row>
    <row r="157" spans="1:19" s="178" customFormat="1" ht="29.15" customHeight="1" x14ac:dyDescent="0.35">
      <c r="B157" s="178" t="s">
        <v>27</v>
      </c>
      <c r="C157" s="181"/>
      <c r="D157" s="178" t="s">
        <v>191</v>
      </c>
      <c r="E157" s="180" t="s">
        <v>194</v>
      </c>
      <c r="F157" s="180"/>
      <c r="G157" s="180" t="s">
        <v>137</v>
      </c>
      <c r="H157" s="195"/>
      <c r="I157" s="195"/>
      <c r="J157" s="195"/>
      <c r="K157" s="195"/>
      <c r="L157" s="149" t="s">
        <v>282</v>
      </c>
      <c r="M157" s="132"/>
      <c r="N157" s="42" t="s">
        <v>90</v>
      </c>
      <c r="O157" s="209" t="s">
        <v>39</v>
      </c>
      <c r="P157" s="210" t="s">
        <v>40</v>
      </c>
    </row>
    <row r="158" spans="1:19" s="26" customFormat="1" ht="11.6" x14ac:dyDescent="0.35">
      <c r="B158" s="103">
        <v>9060070004</v>
      </c>
      <c r="C158" s="82"/>
      <c r="D158" s="224">
        <v>0.75</v>
      </c>
      <c r="E158" s="52">
        <v>1250</v>
      </c>
      <c r="F158" s="52" t="s">
        <v>196</v>
      </c>
      <c r="G158" s="52" t="s">
        <v>199</v>
      </c>
      <c r="H158" s="52"/>
      <c r="I158" s="52"/>
      <c r="J158" s="52"/>
      <c r="K158" s="52"/>
      <c r="L158" s="141">
        <f>($Q$1*M158)*(100%+O158)</f>
        <v>0</v>
      </c>
      <c r="M158" s="132">
        <f>(N158*(100%+P158))</f>
        <v>15.180000000000001</v>
      </c>
      <c r="N158" s="318">
        <v>13.8</v>
      </c>
      <c r="O158" s="198">
        <v>0.6</v>
      </c>
      <c r="P158" s="198">
        <v>0.1</v>
      </c>
    </row>
    <row r="159" spans="1:19" s="26" customFormat="1" ht="11.6" x14ac:dyDescent="0.35">
      <c r="B159" s="103"/>
      <c r="C159" s="82"/>
      <c r="D159" s="224"/>
      <c r="E159" s="52"/>
      <c r="F159" s="52"/>
      <c r="G159" s="52"/>
      <c r="H159" s="52"/>
      <c r="I159" s="52"/>
      <c r="J159" s="52"/>
      <c r="K159" s="52"/>
      <c r="L159" s="147"/>
      <c r="M159" s="132"/>
      <c r="N159" s="137"/>
      <c r="O159" s="198"/>
      <c r="P159" s="198"/>
    </row>
    <row r="160" spans="1:19" x14ac:dyDescent="0.35">
      <c r="B160" s="17" t="s">
        <v>537</v>
      </c>
      <c r="L160" s="20"/>
    </row>
    <row r="161" spans="2:19" s="178" customFormat="1" ht="28.95" customHeight="1" x14ac:dyDescent="0.35">
      <c r="B161" s="178" t="s">
        <v>27</v>
      </c>
      <c r="C161" s="181"/>
      <c r="D161" s="178" t="s">
        <v>191</v>
      </c>
      <c r="E161" s="180" t="s">
        <v>194</v>
      </c>
      <c r="F161" s="180"/>
      <c r="G161" s="180" t="s">
        <v>202</v>
      </c>
      <c r="H161" s="195" t="s">
        <v>300</v>
      </c>
      <c r="I161" s="195"/>
      <c r="J161" s="195"/>
      <c r="K161" s="195"/>
      <c r="L161" s="149" t="s">
        <v>190</v>
      </c>
      <c r="M161" s="132"/>
      <c r="N161" s="42" t="s">
        <v>90</v>
      </c>
      <c r="O161" s="209" t="s">
        <v>39</v>
      </c>
      <c r="P161" s="210" t="s">
        <v>40</v>
      </c>
    </row>
    <row r="162" spans="2:19" s="26" customFormat="1" ht="11.6" x14ac:dyDescent="0.35">
      <c r="B162" s="103">
        <v>9060070007</v>
      </c>
      <c r="C162" s="82"/>
      <c r="D162" s="139">
        <v>0.6</v>
      </c>
      <c r="E162" s="52">
        <v>1000</v>
      </c>
      <c r="F162" s="52" t="s">
        <v>195</v>
      </c>
      <c r="G162" s="105" t="s">
        <v>297</v>
      </c>
      <c r="H162" s="105">
        <v>153.6</v>
      </c>
      <c r="I162" s="101" t="s">
        <v>295</v>
      </c>
      <c r="J162" s="52"/>
      <c r="K162" s="52"/>
      <c r="L162" s="141">
        <f>($Q$1*M162)*(100%+O162)</f>
        <v>0</v>
      </c>
      <c r="M162" s="132">
        <f>(N162*(100%+P162))</f>
        <v>1.49</v>
      </c>
      <c r="N162" s="313">
        <v>1.49</v>
      </c>
      <c r="O162" s="198">
        <v>0.71499999999999997</v>
      </c>
      <c r="P162" s="198">
        <v>0</v>
      </c>
    </row>
    <row r="163" spans="2:19" s="26" customFormat="1" ht="11.6" x14ac:dyDescent="0.35">
      <c r="B163" s="87">
        <v>9060070008</v>
      </c>
      <c r="C163" s="100"/>
      <c r="D163" s="89">
        <v>0.7</v>
      </c>
      <c r="E163" s="88">
        <v>1000</v>
      </c>
      <c r="F163" s="88" t="s">
        <v>195</v>
      </c>
      <c r="G163" s="111" t="s">
        <v>297</v>
      </c>
      <c r="H163" s="111">
        <v>179.2</v>
      </c>
      <c r="I163" s="88" t="s">
        <v>295</v>
      </c>
      <c r="J163" s="88"/>
      <c r="K163" s="88"/>
      <c r="L163" s="145">
        <f>($Q$1*M163)*(100%+O163)</f>
        <v>0</v>
      </c>
      <c r="M163" s="132">
        <f>(N163*(100%+P163))</f>
        <v>1.49</v>
      </c>
      <c r="N163" s="313">
        <v>1.49</v>
      </c>
      <c r="O163" s="198">
        <v>0.71499999999999997</v>
      </c>
      <c r="P163" s="198">
        <v>0</v>
      </c>
    </row>
    <row r="164" spans="2:19" s="26" customFormat="1" ht="7.5" customHeight="1" x14ac:dyDescent="0.35">
      <c r="B164" s="100"/>
      <c r="C164" s="100"/>
      <c r="D164" s="89"/>
      <c r="E164" s="88"/>
      <c r="F164" s="88"/>
      <c r="G164" s="111"/>
      <c r="H164" s="111"/>
      <c r="I164" s="88"/>
      <c r="J164" s="88"/>
      <c r="K164" s="88"/>
      <c r="L164" s="187"/>
      <c r="M164" s="132"/>
      <c r="N164" s="137"/>
      <c r="O164" s="198"/>
      <c r="P164" s="198"/>
    </row>
    <row r="165" spans="2:19" s="26" customFormat="1" ht="7.5" customHeight="1" x14ac:dyDescent="0.35">
      <c r="B165" s="87"/>
      <c r="C165" s="100"/>
      <c r="D165" s="89"/>
      <c r="E165" s="88"/>
      <c r="F165" s="88"/>
      <c r="G165" s="88"/>
      <c r="H165" s="88"/>
      <c r="I165" s="88"/>
      <c r="J165" s="88"/>
      <c r="K165" s="88"/>
      <c r="L165" s="187"/>
      <c r="M165" s="132"/>
      <c r="N165" s="101"/>
      <c r="O165" s="214"/>
      <c r="P165" s="214"/>
    </row>
    <row r="166" spans="2:19" x14ac:dyDescent="0.35">
      <c r="B166" s="17" t="s">
        <v>200</v>
      </c>
      <c r="L166" s="20"/>
      <c r="M166" s="21"/>
      <c r="N166" s="21"/>
      <c r="O166" s="22"/>
      <c r="P166" s="129"/>
      <c r="R166" s="22"/>
      <c r="S166" s="129"/>
    </row>
    <row r="167" spans="2:19" s="178" customFormat="1" ht="29.15" customHeight="1" x14ac:dyDescent="0.35">
      <c r="B167" s="178" t="s">
        <v>27</v>
      </c>
      <c r="C167" s="181"/>
      <c r="D167" s="178" t="s">
        <v>191</v>
      </c>
      <c r="E167" s="180" t="s">
        <v>194</v>
      </c>
      <c r="F167" s="180"/>
      <c r="G167" s="180"/>
      <c r="H167" s="195"/>
      <c r="I167" s="195"/>
      <c r="J167" s="195"/>
      <c r="K167" s="195"/>
      <c r="L167" s="149" t="s">
        <v>190</v>
      </c>
      <c r="M167" s="132"/>
      <c r="N167" s="42" t="s">
        <v>90</v>
      </c>
      <c r="O167" s="209" t="s">
        <v>39</v>
      </c>
      <c r="P167" s="210" t="s">
        <v>40</v>
      </c>
    </row>
    <row r="168" spans="2:19" s="26" customFormat="1" ht="11.6" x14ac:dyDescent="0.35">
      <c r="B168" s="87">
        <v>9060070003</v>
      </c>
      <c r="C168" s="100"/>
      <c r="D168" s="225">
        <v>0.75</v>
      </c>
      <c r="E168" s="88">
        <v>1250</v>
      </c>
      <c r="F168" s="88" t="s">
        <v>198</v>
      </c>
      <c r="G168" s="88"/>
      <c r="H168" s="88"/>
      <c r="I168" s="88"/>
      <c r="J168" s="88"/>
      <c r="K168" s="88"/>
      <c r="L168" s="145">
        <f>($Q$1*M168)*(100%+O168)</f>
        <v>0</v>
      </c>
      <c r="M168" s="132">
        <f>(N168*(100%+P168))</f>
        <v>1.65</v>
      </c>
      <c r="N168" s="313">
        <v>1.65</v>
      </c>
      <c r="O168" s="198">
        <v>0.65</v>
      </c>
      <c r="P168" s="198">
        <v>0</v>
      </c>
    </row>
    <row r="169" spans="2:19" s="26" customFormat="1" ht="11.6" x14ac:dyDescent="0.35">
      <c r="B169" s="103">
        <v>9060070005</v>
      </c>
      <c r="C169" s="82"/>
      <c r="D169" s="213">
        <v>1</v>
      </c>
      <c r="E169" s="52">
        <v>1250</v>
      </c>
      <c r="F169" s="52" t="s">
        <v>198</v>
      </c>
      <c r="G169" s="52"/>
      <c r="H169" s="52"/>
      <c r="I169" s="52"/>
      <c r="J169" s="52"/>
      <c r="K169" s="52"/>
      <c r="L169" s="141">
        <f>($Q$1*M169)*(100%+O169)</f>
        <v>0</v>
      </c>
      <c r="M169" s="132">
        <f>(N169*(100%+P169))</f>
        <v>1.65</v>
      </c>
      <c r="N169" s="101">
        <f>N168</f>
        <v>1.65</v>
      </c>
      <c r="O169" s="198">
        <f>O168</f>
        <v>0.65</v>
      </c>
      <c r="P169" s="198">
        <v>0</v>
      </c>
    </row>
  </sheetData>
  <sheetProtection algorithmName="SHA-512" hashValue="pY3FRZcStSpgA1P9oJRId9xDnGiDbD3DvhtDIKeW47zsD5vUZM0QlNgN7MJnzYcAFirLAL9OpiDBKakgZD841g==" saltValue="0DpyRnbFyh9iRdsxEQtHKA==" spinCount="100000" sheet="1" objects="1" scenarios="1"/>
  <mergeCells count="38">
    <mergeCell ref="M62:M64"/>
    <mergeCell ref="N62:N64"/>
    <mergeCell ref="O62:O64"/>
    <mergeCell ref="P62:P64"/>
    <mergeCell ref="Q62:Q64"/>
    <mergeCell ref="M74:M75"/>
    <mergeCell ref="N74:N75"/>
    <mergeCell ref="O74:O75"/>
    <mergeCell ref="P74:P75"/>
    <mergeCell ref="Q74:Q75"/>
    <mergeCell ref="R24:R25"/>
    <mergeCell ref="M24:M25"/>
    <mergeCell ref="N24:N25"/>
    <mergeCell ref="O24:O25"/>
    <mergeCell ref="P24:P25"/>
    <mergeCell ref="Q24:Q25"/>
    <mergeCell ref="Q12:Q13"/>
    <mergeCell ref="M4:M9"/>
    <mergeCell ref="N4:N9"/>
    <mergeCell ref="O4:O9"/>
    <mergeCell ref="P4:P9"/>
    <mergeCell ref="Q4:Q9"/>
    <mergeCell ref="R61:R74"/>
    <mergeCell ref="R4:R20"/>
    <mergeCell ref="M68:M69"/>
    <mergeCell ref="N68:N69"/>
    <mergeCell ref="O68:O69"/>
    <mergeCell ref="P68:P69"/>
    <mergeCell ref="Q68:Q69"/>
    <mergeCell ref="M18:M19"/>
    <mergeCell ref="N18:N19"/>
    <mergeCell ref="O18:O19"/>
    <mergeCell ref="P18:P19"/>
    <mergeCell ref="Q18:Q19"/>
    <mergeCell ref="M12:M13"/>
    <mergeCell ref="N12:N13"/>
    <mergeCell ref="O12:O13"/>
    <mergeCell ref="P12:P13"/>
  </mergeCells>
  <phoneticPr fontId="53" type="noConversion"/>
  <conditionalFormatting sqref="B4:L6 C67">
    <cfRule type="expression" dxfId="201" priority="216">
      <formula>MOD(ROW(),2)=0</formula>
    </cfRule>
  </conditionalFormatting>
  <conditionalFormatting sqref="B8:L9">
    <cfRule type="expression" dxfId="200" priority="206">
      <formula>MOD(ROW(),2)=0</formula>
    </cfRule>
  </conditionalFormatting>
  <conditionalFormatting sqref="B12:L13">
    <cfRule type="expression" dxfId="199" priority="7">
      <formula>MOD(ROW(),2)=0</formula>
    </cfRule>
  </conditionalFormatting>
  <conditionalFormatting sqref="B18:L19">
    <cfRule type="expression" dxfId="198" priority="172">
      <formula>MOD(ROW(),2)=0</formula>
    </cfRule>
  </conditionalFormatting>
  <conditionalFormatting sqref="B24:L24">
    <cfRule type="expression" dxfId="197" priority="169">
      <formula>MOD(ROW(),2)=0</formula>
    </cfRule>
  </conditionalFormatting>
  <conditionalFormatting sqref="B30:L33">
    <cfRule type="expression" dxfId="196" priority="168">
      <formula>MOD(ROW(),2)=0</formula>
    </cfRule>
  </conditionalFormatting>
  <conditionalFormatting sqref="B36:L37">
    <cfRule type="expression" dxfId="195" priority="46">
      <formula>MOD(ROW(),2)=0</formula>
    </cfRule>
  </conditionalFormatting>
  <conditionalFormatting sqref="B42:L42">
    <cfRule type="expression" dxfId="194" priority="88">
      <formula>MOD(ROW(),2)=0</formula>
    </cfRule>
  </conditionalFormatting>
  <conditionalFormatting sqref="B46:L46">
    <cfRule type="expression" dxfId="193" priority="86">
      <formula>MOD(ROW(),2)=0</formula>
    </cfRule>
  </conditionalFormatting>
  <conditionalFormatting sqref="B52:L52">
    <cfRule type="expression" dxfId="192" priority="90">
      <formula>MOD(ROW(),2)=0</formula>
    </cfRule>
  </conditionalFormatting>
  <conditionalFormatting sqref="B56:L56">
    <cfRule type="expression" dxfId="191" priority="53">
      <formula>MOD(ROW(),2)=0</formula>
    </cfRule>
  </conditionalFormatting>
  <conditionalFormatting sqref="B62:L64 E67:L67">
    <cfRule type="expression" dxfId="190" priority="56">
      <formula>MOD(ROW(),2)=0</formula>
    </cfRule>
  </conditionalFormatting>
  <conditionalFormatting sqref="B68:L69">
    <cfRule type="expression" dxfId="189" priority="39">
      <formula>MOD(ROW(),2)=0</formula>
    </cfRule>
  </conditionalFormatting>
  <conditionalFormatting sqref="B74:L74">
    <cfRule type="expression" dxfId="188" priority="6">
      <formula>MOD(ROW(),2)=0</formula>
    </cfRule>
  </conditionalFormatting>
  <conditionalFormatting sqref="B80:L80">
    <cfRule type="expression" dxfId="187" priority="2">
      <formula>MOD(ROW(),2)=0</formula>
    </cfRule>
  </conditionalFormatting>
  <conditionalFormatting sqref="B84:L84">
    <cfRule type="expression" dxfId="186" priority="1">
      <formula>MOD(ROW(),2)=0</formula>
    </cfRule>
  </conditionalFormatting>
  <conditionalFormatting sqref="B88:L88">
    <cfRule type="expression" dxfId="185" priority="13">
      <formula>MOD(ROW(),2)=0</formula>
    </cfRule>
  </conditionalFormatting>
  <conditionalFormatting sqref="B94:L94">
    <cfRule type="expression" dxfId="184" priority="84">
      <formula>MOD(ROW(),2)=0</formula>
    </cfRule>
  </conditionalFormatting>
  <conditionalFormatting sqref="B100:L102">
    <cfRule type="expression" dxfId="183" priority="80">
      <formula>MOD(ROW(),2)=0</formula>
    </cfRule>
  </conditionalFormatting>
  <conditionalFormatting sqref="B106:L106">
    <cfRule type="expression" dxfId="182" priority="78">
      <formula>MOD(ROW(),2)=0</formula>
    </cfRule>
  </conditionalFormatting>
  <conditionalFormatting sqref="B110:L110">
    <cfRule type="expression" dxfId="181" priority="76">
      <formula>MOD(ROW(),2)=0</formula>
    </cfRule>
  </conditionalFormatting>
  <conditionalFormatting sqref="B114:L115">
    <cfRule type="expression" dxfId="180" priority="29">
      <formula>MOD(ROW(),2)=0</formula>
    </cfRule>
  </conditionalFormatting>
  <conditionalFormatting sqref="B118:L119">
    <cfRule type="expression" dxfId="179" priority="16">
      <formula>MOD(ROW(),2)=0</formula>
    </cfRule>
  </conditionalFormatting>
  <conditionalFormatting sqref="B122:L125">
    <cfRule type="expression" dxfId="178" priority="64">
      <formula>MOD(ROW(),2)=0</formula>
    </cfRule>
  </conditionalFormatting>
  <conditionalFormatting sqref="B128:L131">
    <cfRule type="expression" dxfId="177" priority="127">
      <formula>MOD(ROW(),2)=0</formula>
    </cfRule>
  </conditionalFormatting>
  <conditionalFormatting sqref="B136:L139">
    <cfRule type="expression" dxfId="176" priority="60">
      <formula>MOD(ROW(),2)=0</formula>
    </cfRule>
  </conditionalFormatting>
  <conditionalFormatting sqref="B144:L147">
    <cfRule type="expression" dxfId="175" priority="57">
      <formula>MOD(ROW(),2)=0</formula>
    </cfRule>
  </conditionalFormatting>
  <conditionalFormatting sqref="B152:L153">
    <cfRule type="expression" dxfId="174" priority="74">
      <formula>MOD(ROW(),2)=0</formula>
    </cfRule>
  </conditionalFormatting>
  <conditionalFormatting sqref="B158:L158">
    <cfRule type="expression" dxfId="173" priority="72">
      <formula>MOD(ROW(),2)=0</formula>
    </cfRule>
  </conditionalFormatting>
  <conditionalFormatting sqref="B162:L163">
    <cfRule type="expression" dxfId="172" priority="21">
      <formula>MOD(ROW(),2)=0</formula>
    </cfRule>
  </conditionalFormatting>
  <conditionalFormatting sqref="B168:L169">
    <cfRule type="expression" dxfId="171" priority="70">
      <formula>MOD(ROW(),2)=0</formula>
    </cfRule>
  </conditionalFormatting>
  <conditionalFormatting sqref="M29:M33">
    <cfRule type="expression" dxfId="170" priority="141">
      <formula>MOD(ROW(),2)=0</formula>
    </cfRule>
  </conditionalFormatting>
  <conditionalFormatting sqref="M36:M42">
    <cfRule type="expression" dxfId="169" priority="45">
      <formula>MOD(ROW(),2)=0</formula>
    </cfRule>
  </conditionalFormatting>
  <conditionalFormatting sqref="M45:M46">
    <cfRule type="expression" dxfId="168" priority="114">
      <formula>MOD(ROW(),2)=0</formula>
    </cfRule>
  </conditionalFormatting>
  <conditionalFormatting sqref="M51:M52">
    <cfRule type="expression" dxfId="167" priority="139">
      <formula>MOD(ROW(),2)=0</formula>
    </cfRule>
  </conditionalFormatting>
  <conditionalFormatting sqref="M55:M56">
    <cfRule type="expression" dxfId="166" priority="54">
      <formula>MOD(ROW(),2)=0</formula>
    </cfRule>
  </conditionalFormatting>
  <conditionalFormatting sqref="M79:M80">
    <cfRule type="expression" dxfId="165" priority="68">
      <formula>MOD(ROW(),2)=0</formula>
    </cfRule>
  </conditionalFormatting>
  <conditionalFormatting sqref="M83:M84">
    <cfRule type="expression" dxfId="164" priority="4">
      <formula>MOD(ROW(),2)=0</formula>
    </cfRule>
  </conditionalFormatting>
  <conditionalFormatting sqref="M87:M88">
    <cfRule type="expression" dxfId="163" priority="14">
      <formula>MOD(ROW(),2)=0</formula>
    </cfRule>
  </conditionalFormatting>
  <conditionalFormatting sqref="M93:M94">
    <cfRule type="expression" dxfId="162" priority="110">
      <formula>MOD(ROW(),2)=0</formula>
    </cfRule>
  </conditionalFormatting>
  <conditionalFormatting sqref="M99:M102">
    <cfRule type="expression" dxfId="161" priority="104">
      <formula>MOD(ROW(),2)=0</formula>
    </cfRule>
  </conditionalFormatting>
  <conditionalFormatting sqref="M105:M106">
    <cfRule type="expression" dxfId="160" priority="108">
      <formula>MOD(ROW(),2)=0</formula>
    </cfRule>
  </conditionalFormatting>
  <conditionalFormatting sqref="M109:M110">
    <cfRule type="expression" dxfId="159" priority="106">
      <formula>MOD(ROW(),2)=0</formula>
    </cfRule>
  </conditionalFormatting>
  <conditionalFormatting sqref="M113:M115">
    <cfRule type="expression" dxfId="158" priority="31">
      <formula>MOD(ROW(),2)=0</formula>
    </cfRule>
  </conditionalFormatting>
  <conditionalFormatting sqref="M117:M119">
    <cfRule type="expression" dxfId="157" priority="19">
      <formula>MOD(ROW(),2)=0</formula>
    </cfRule>
  </conditionalFormatting>
  <conditionalFormatting sqref="M151:M153">
    <cfRule type="expression" dxfId="156" priority="99">
      <formula>MOD(ROW(),2)=0</formula>
    </cfRule>
  </conditionalFormatting>
  <conditionalFormatting sqref="M157:M158">
    <cfRule type="expression" dxfId="155" priority="97">
      <formula>MOD(ROW(),2)=0</formula>
    </cfRule>
  </conditionalFormatting>
  <conditionalFormatting sqref="M161:M163">
    <cfRule type="expression" dxfId="154" priority="23">
      <formula>MOD(ROW(),2)=0</formula>
    </cfRule>
  </conditionalFormatting>
  <conditionalFormatting sqref="M167:M169">
    <cfRule type="expression" dxfId="153" priority="9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86" orientation="portrait" r:id="rId1"/>
  <headerFooter>
    <oddHeader>&amp;L&amp;G&amp;R&amp;"Century Gothic,Fett"&amp;16&amp;A</oddHeader>
  </headerFooter>
  <rowBreaks count="3" manualBreakCount="3">
    <brk id="48" max="11" man="1"/>
    <brk id="96" max="11" man="1"/>
    <brk id="148" max="11" man="1"/>
  </rowBreaks>
  <ignoredErrors>
    <ignoredError sqref="L31:M31" formula="1"/>
  </ignoredError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3" tint="0.39997558519241921"/>
  </sheetPr>
  <dimension ref="A1:U213"/>
  <sheetViews>
    <sheetView showGridLines="0" view="pageBreakPreview" topLeftCell="A169" zoomScaleNormal="100" zoomScaleSheetLayoutView="100" workbookViewId="0">
      <selection activeCell="K200" sqref="K200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0.75" style="18" customWidth="1"/>
    <col min="4" max="4" width="5.25" style="19" customWidth="1"/>
    <col min="5" max="5" width="8.25" style="19" customWidth="1"/>
    <col min="6" max="6" width="10.875" style="19" customWidth="1"/>
    <col min="7" max="8" width="4.75" style="19" customWidth="1"/>
    <col min="9" max="9" width="4.25" style="19" customWidth="1"/>
    <col min="10" max="10" width="6.75" style="19" customWidth="1"/>
    <col min="11" max="11" width="6.25" style="124" customWidth="1"/>
    <col min="12" max="12" width="6" style="125" hidden="1" customWidth="1" outlineLevel="1"/>
    <col min="13" max="13" width="5.75" style="291" hidden="1" customWidth="1" outlineLevel="1"/>
    <col min="14" max="15" width="6.25" style="126" hidden="1" customWidth="1" outlineLevel="1"/>
    <col min="16" max="16" width="13.125" style="19" hidden="1" customWidth="1" outlineLevel="1"/>
    <col min="17" max="17" width="11.25" style="19" hidden="1" customWidth="1" outlineLevel="1"/>
    <col min="18" max="18" width="2.25" style="19" hidden="1" customWidth="1" outlineLevel="1"/>
    <col min="19" max="19" width="21" style="19" hidden="1" customWidth="1" outlineLevel="1"/>
    <col min="20" max="20" width="11.25" style="19" hidden="1" customWidth="1" outlineLevel="1"/>
    <col min="21" max="21" width="11.25" style="19" collapsed="1"/>
    <col min="22" max="16384" width="11.25" style="19"/>
  </cols>
  <sheetData>
    <row r="1" spans="2:20" ht="8.6999999999999993" customHeight="1" x14ac:dyDescent="0.35"/>
    <row r="2" spans="2:20" ht="6.65" customHeight="1" x14ac:dyDescent="0.35"/>
    <row r="3" spans="2:20" ht="18.45" thickBot="1" x14ac:dyDescent="0.4">
      <c r="B3" s="17" t="s">
        <v>787</v>
      </c>
      <c r="M3" s="226"/>
      <c r="N3" s="127"/>
      <c r="O3" s="127"/>
      <c r="P3" s="22"/>
      <c r="Q3" s="128"/>
      <c r="R3" s="19">
        <f>(1-Q5)*(1+Q6)</f>
        <v>0</v>
      </c>
      <c r="S3" s="22"/>
      <c r="T3" s="129"/>
    </row>
    <row r="4" spans="2:20" ht="18.45" thickBot="1" x14ac:dyDescent="0.4">
      <c r="P4" s="266" t="s">
        <v>40</v>
      </c>
      <c r="Q4" s="267">
        <v>0</v>
      </c>
    </row>
    <row r="5" spans="2:20" ht="28.75" thickBot="1" x14ac:dyDescent="0.4">
      <c r="B5" s="26" t="s">
        <v>27</v>
      </c>
      <c r="C5" s="45"/>
      <c r="D5" s="39" t="s">
        <v>86</v>
      </c>
      <c r="E5" s="28"/>
      <c r="F5" s="27"/>
      <c r="G5" s="27"/>
      <c r="H5" s="27"/>
      <c r="I5" s="27"/>
      <c r="J5" s="23"/>
      <c r="K5" s="131" t="s">
        <v>77</v>
      </c>
      <c r="L5" s="132"/>
      <c r="M5" s="139" t="s">
        <v>90</v>
      </c>
      <c r="N5" s="108" t="s">
        <v>39</v>
      </c>
      <c r="O5" s="133" t="s">
        <v>40</v>
      </c>
      <c r="P5" s="268" t="s">
        <v>30</v>
      </c>
      <c r="Q5" s="269">
        <f>Inhaltsverzeichnis!K21</f>
        <v>1</v>
      </c>
    </row>
    <row r="6" spans="2:20" s="26" customFormat="1" ht="12.45" customHeight="1" thickBot="1" x14ac:dyDescent="0.4">
      <c r="B6" s="83">
        <v>9070020001</v>
      </c>
      <c r="D6" s="42">
        <v>80</v>
      </c>
      <c r="E6" s="42"/>
      <c r="J6" s="93"/>
      <c r="K6" s="134">
        <f>($R$3*L6)*(100%+N6)</f>
        <v>0</v>
      </c>
      <c r="L6" s="132">
        <f>(M6*(100%+O6))</f>
        <v>2.5830000000000002</v>
      </c>
      <c r="M6" s="320">
        <v>2.46</v>
      </c>
      <c r="N6" s="126">
        <v>1.1499999999999999</v>
      </c>
      <c r="O6" s="136">
        <v>0.05</v>
      </c>
      <c r="P6" s="266" t="s">
        <v>31</v>
      </c>
      <c r="Q6" s="270">
        <v>0</v>
      </c>
    </row>
    <row r="7" spans="2:20" s="26" customFormat="1" ht="12.45" customHeight="1" x14ac:dyDescent="0.35">
      <c r="B7" s="83">
        <v>9070020002</v>
      </c>
      <c r="D7" s="42">
        <v>100</v>
      </c>
      <c r="E7" s="42"/>
      <c r="J7" s="93"/>
      <c r="K7" s="134">
        <f>($R$3*L7)*(100%+N7)</f>
        <v>0</v>
      </c>
      <c r="L7" s="132">
        <f>(M7*(100%+O7))</f>
        <v>2.6774999999999998</v>
      </c>
      <c r="M7" s="365">
        <v>2.5499999999999998</v>
      </c>
      <c r="N7" s="126">
        <v>1.1499999999999999</v>
      </c>
      <c r="O7" s="126">
        <v>0.05</v>
      </c>
      <c r="P7" s="22"/>
      <c r="Q7" s="138"/>
    </row>
    <row r="8" spans="2:20" s="52" customFormat="1" ht="12.45" customHeight="1" x14ac:dyDescent="0.35">
      <c r="B8" s="103">
        <v>9070020003</v>
      </c>
      <c r="D8" s="139">
        <v>120</v>
      </c>
      <c r="E8" s="139"/>
      <c r="J8" s="106"/>
      <c r="K8" s="134">
        <f>($R$3*L8)*(100%+N8)</f>
        <v>0</v>
      </c>
      <c r="L8" s="132">
        <f>(M8*(100%+O8))</f>
        <v>3.4755000000000003</v>
      </c>
      <c r="M8" s="365">
        <v>3.31</v>
      </c>
      <c r="N8" s="126">
        <v>0.73</v>
      </c>
      <c r="O8" s="126">
        <v>0.05</v>
      </c>
      <c r="P8" s="139"/>
      <c r="Q8" s="140"/>
    </row>
    <row r="9" spans="2:20" s="45" customFormat="1" ht="7.5" customHeight="1" x14ac:dyDescent="0.35">
      <c r="B9" s="57"/>
      <c r="C9" s="18"/>
      <c r="D9" s="19"/>
      <c r="E9" s="19"/>
      <c r="F9" s="19"/>
      <c r="G9" s="19"/>
      <c r="H9" s="19"/>
      <c r="I9" s="19"/>
      <c r="J9" s="19"/>
      <c r="K9" s="124"/>
      <c r="L9" s="132"/>
      <c r="M9" s="226"/>
      <c r="N9" s="126"/>
      <c r="O9" s="126"/>
    </row>
    <row r="10" spans="2:20" s="45" customFormat="1" ht="7.5" customHeight="1" x14ac:dyDescent="0.35">
      <c r="B10" s="57"/>
      <c r="C10" s="18"/>
      <c r="D10" s="19"/>
      <c r="E10" s="19"/>
      <c r="F10" s="19"/>
      <c r="G10" s="19"/>
      <c r="H10" s="19"/>
      <c r="I10" s="19"/>
      <c r="J10" s="19"/>
      <c r="K10" s="124"/>
      <c r="L10" s="132"/>
      <c r="M10" s="226"/>
      <c r="N10" s="126"/>
      <c r="O10" s="126"/>
    </row>
    <row r="11" spans="2:20" x14ac:dyDescent="0.35">
      <c r="B11" s="17" t="s">
        <v>109</v>
      </c>
      <c r="L11" s="132"/>
    </row>
    <row r="12" spans="2:20" x14ac:dyDescent="0.35">
      <c r="L12" s="132"/>
    </row>
    <row r="13" spans="2:20" x14ac:dyDescent="0.35">
      <c r="B13" s="26" t="s">
        <v>27</v>
      </c>
      <c r="C13" s="45"/>
      <c r="D13" s="39" t="s">
        <v>110</v>
      </c>
      <c r="E13" s="28"/>
      <c r="F13" s="27"/>
      <c r="G13" s="39" t="s">
        <v>165</v>
      </c>
      <c r="H13" s="27"/>
      <c r="I13" s="27"/>
      <c r="J13" s="23"/>
      <c r="K13" s="131" t="s">
        <v>77</v>
      </c>
      <c r="L13" s="132"/>
      <c r="M13" s="139" t="s">
        <v>90</v>
      </c>
      <c r="N13" s="108" t="s">
        <v>39</v>
      </c>
      <c r="O13" s="133" t="s">
        <v>40</v>
      </c>
    </row>
    <row r="14" spans="2:20" ht="12.45" customHeight="1" x14ac:dyDescent="0.35">
      <c r="B14" s="83">
        <v>5020240001</v>
      </c>
      <c r="C14" s="26"/>
      <c r="D14" s="42" t="s">
        <v>111</v>
      </c>
      <c r="E14" s="83" t="s">
        <v>112</v>
      </c>
      <c r="F14" s="26"/>
      <c r="G14" s="26" t="s">
        <v>150</v>
      </c>
      <c r="H14" s="26"/>
      <c r="I14" s="26"/>
      <c r="J14" s="93"/>
      <c r="K14" s="134">
        <f>($R$3*L14)*(100%+N14)</f>
        <v>0</v>
      </c>
      <c r="L14" s="132">
        <f>(M14*(100%+O14))</f>
        <v>0.47</v>
      </c>
      <c r="M14" s="275">
        <v>0.47</v>
      </c>
      <c r="N14" s="126">
        <v>1.05</v>
      </c>
      <c r="O14" s="126">
        <v>0</v>
      </c>
    </row>
    <row r="15" spans="2:20" ht="12.45" customHeight="1" x14ac:dyDescent="0.35">
      <c r="B15" s="83">
        <v>5020240002</v>
      </c>
      <c r="C15" s="26"/>
      <c r="D15" s="42" t="s">
        <v>113</v>
      </c>
      <c r="E15" s="83" t="s">
        <v>112</v>
      </c>
      <c r="F15" s="26"/>
      <c r="G15" s="26" t="s">
        <v>150</v>
      </c>
      <c r="H15" s="26"/>
      <c r="I15" s="26"/>
      <c r="J15" s="93"/>
      <c r="K15" s="134">
        <f>($R$3*L15)*(100%+N15)</f>
        <v>0</v>
      </c>
      <c r="L15" s="132">
        <f>(M15*(100%+O15))</f>
        <v>0.71</v>
      </c>
      <c r="M15" s="226">
        <v>0.71</v>
      </c>
      <c r="N15" s="126">
        <v>1.05</v>
      </c>
      <c r="O15" s="126">
        <v>0</v>
      </c>
    </row>
    <row r="16" spans="2:20" ht="12.45" customHeight="1" x14ac:dyDescent="0.35">
      <c r="B16" s="83">
        <v>5020240003</v>
      </c>
      <c r="C16" s="88"/>
      <c r="D16" s="139" t="s">
        <v>114</v>
      </c>
      <c r="E16" s="83" t="s">
        <v>112</v>
      </c>
      <c r="F16" s="88"/>
      <c r="G16" s="52" t="s">
        <v>150</v>
      </c>
      <c r="H16" s="88"/>
      <c r="I16" s="88"/>
      <c r="J16" s="111"/>
      <c r="K16" s="134">
        <f>($R$3*L16)*(100%+N16)</f>
        <v>0</v>
      </c>
      <c r="L16" s="132">
        <f>(M16*(100%+O16))</f>
        <v>0.94</v>
      </c>
      <c r="M16" s="292">
        <v>0.94</v>
      </c>
      <c r="N16" s="126">
        <v>1.05</v>
      </c>
      <c r="O16" s="126">
        <v>0</v>
      </c>
    </row>
    <row r="17" spans="2:15" ht="12.45" customHeight="1" x14ac:dyDescent="0.35">
      <c r="B17" s="83">
        <v>5020240004</v>
      </c>
      <c r="C17" s="88"/>
      <c r="D17" s="139" t="s">
        <v>115</v>
      </c>
      <c r="E17" s="83" t="s">
        <v>112</v>
      </c>
      <c r="F17" s="88"/>
      <c r="G17" s="52" t="s">
        <v>150</v>
      </c>
      <c r="H17" s="88"/>
      <c r="I17" s="88"/>
      <c r="J17" s="111"/>
      <c r="K17" s="134">
        <f>($R$3*L17)*(100%+N17)</f>
        <v>0</v>
      </c>
      <c r="L17" s="132">
        <f>(M17*(100%+O17))</f>
        <v>1.41</v>
      </c>
      <c r="M17" s="292">
        <v>1.41</v>
      </c>
      <c r="N17" s="126">
        <v>1.05</v>
      </c>
      <c r="O17" s="126">
        <v>0</v>
      </c>
    </row>
    <row r="18" spans="2:15" ht="12.45" customHeight="1" x14ac:dyDescent="0.35">
      <c r="B18" s="83">
        <v>5020240005</v>
      </c>
      <c r="C18" s="88"/>
      <c r="D18" s="139" t="s">
        <v>116</v>
      </c>
      <c r="E18" s="83" t="s">
        <v>112</v>
      </c>
      <c r="F18" s="88"/>
      <c r="G18" s="52" t="s">
        <v>150</v>
      </c>
      <c r="H18" s="88"/>
      <c r="I18" s="88"/>
      <c r="J18" s="111"/>
      <c r="K18" s="134">
        <f>($R$3*L18)*(100%+N18)</f>
        <v>0</v>
      </c>
      <c r="L18" s="132">
        <f>(M18*(100%+O18))</f>
        <v>2.02</v>
      </c>
      <c r="M18" s="292">
        <v>2.02</v>
      </c>
      <c r="N18" s="126">
        <v>1.05</v>
      </c>
      <c r="O18" s="126">
        <v>0</v>
      </c>
    </row>
    <row r="19" spans="2:15" ht="12.45" customHeight="1" x14ac:dyDescent="0.35">
      <c r="B19" s="83"/>
      <c r="C19" s="88"/>
      <c r="D19" s="139"/>
      <c r="E19" s="83"/>
      <c r="F19" s="88"/>
      <c r="G19" s="52"/>
      <c r="H19" s="88"/>
      <c r="I19" s="88"/>
      <c r="J19" s="111"/>
      <c r="K19" s="134"/>
      <c r="L19" s="132"/>
      <c r="M19" s="292"/>
    </row>
    <row r="20" spans="2:15" ht="12.45" customHeight="1" x14ac:dyDescent="0.35">
      <c r="B20" s="83">
        <v>5020240009</v>
      </c>
      <c r="C20" s="26"/>
      <c r="D20" s="42" t="s">
        <v>111</v>
      </c>
      <c r="E20" s="83" t="s">
        <v>112</v>
      </c>
      <c r="F20" s="26"/>
      <c r="G20" s="52" t="s">
        <v>781</v>
      </c>
      <c r="H20" s="26"/>
      <c r="I20" s="26"/>
      <c r="J20" s="93"/>
      <c r="K20" s="134">
        <f>($R$3*L20)*(100%+N20)</f>
        <v>0</v>
      </c>
      <c r="L20" s="132">
        <f>(M20*(100%+O20))</f>
        <v>0.53</v>
      </c>
      <c r="M20" s="320">
        <v>0.53</v>
      </c>
      <c r="N20" s="126">
        <v>1.05</v>
      </c>
      <c r="O20" s="126">
        <v>0</v>
      </c>
    </row>
    <row r="21" spans="2:15" ht="12.45" customHeight="1" x14ac:dyDescent="0.35">
      <c r="B21" s="83">
        <v>5020240010</v>
      </c>
      <c r="C21" s="26"/>
      <c r="D21" s="42" t="s">
        <v>113</v>
      </c>
      <c r="E21" s="83" t="s">
        <v>112</v>
      </c>
      <c r="F21" s="26"/>
      <c r="G21" s="52" t="s">
        <v>781</v>
      </c>
      <c r="H21" s="26"/>
      <c r="I21" s="26"/>
      <c r="J21" s="93"/>
      <c r="K21" s="134">
        <f>($R$3*L21)*(100%+N21)</f>
        <v>0</v>
      </c>
      <c r="L21" s="132">
        <f>(M21*(100%+O21))</f>
        <v>0.66</v>
      </c>
      <c r="M21" s="365">
        <v>0.66</v>
      </c>
      <c r="N21" s="126">
        <v>1.05</v>
      </c>
      <c r="O21" s="126">
        <v>0</v>
      </c>
    </row>
    <row r="22" spans="2:15" ht="12.45" customHeight="1" x14ac:dyDescent="0.35">
      <c r="B22" s="83"/>
      <c r="C22" s="88"/>
      <c r="D22" s="89" t="s">
        <v>114</v>
      </c>
      <c r="E22" s="87" t="s">
        <v>112</v>
      </c>
      <c r="F22" s="88"/>
      <c r="G22" s="88" t="s">
        <v>781</v>
      </c>
      <c r="H22" s="88"/>
      <c r="I22" s="88"/>
      <c r="J22" s="111"/>
      <c r="K22" s="145">
        <f>($R$3*L22)*(100%+N22)</f>
        <v>0</v>
      </c>
      <c r="L22" s="132">
        <f>(M22*(100%+O22))</f>
        <v>0</v>
      </c>
      <c r="M22" s="366"/>
      <c r="N22" s="126">
        <v>1.05</v>
      </c>
      <c r="O22" s="126">
        <v>0</v>
      </c>
    </row>
    <row r="23" spans="2:15" ht="12.45" customHeight="1" x14ac:dyDescent="0.35">
      <c r="B23" s="83"/>
      <c r="C23" s="88"/>
      <c r="D23" s="89" t="s">
        <v>115</v>
      </c>
      <c r="E23" s="87" t="s">
        <v>112</v>
      </c>
      <c r="F23" s="88"/>
      <c r="G23" s="88" t="s">
        <v>781</v>
      </c>
      <c r="H23" s="88"/>
      <c r="I23" s="88"/>
      <c r="J23" s="111"/>
      <c r="K23" s="145">
        <f>($R$3*L23)*(100%+N23)</f>
        <v>0</v>
      </c>
      <c r="L23" s="132">
        <f>(M23*(100%+O23))</f>
        <v>0</v>
      </c>
      <c r="M23" s="366"/>
      <c r="N23" s="126">
        <v>1.05</v>
      </c>
      <c r="O23" s="126">
        <v>0</v>
      </c>
    </row>
    <row r="24" spans="2:15" ht="12.45" customHeight="1" x14ac:dyDescent="0.35">
      <c r="B24" s="83"/>
      <c r="C24" s="88"/>
      <c r="D24" s="89" t="s">
        <v>116</v>
      </c>
      <c r="E24" s="87" t="s">
        <v>112</v>
      </c>
      <c r="F24" s="88"/>
      <c r="G24" s="88" t="s">
        <v>781</v>
      </c>
      <c r="H24" s="88"/>
      <c r="I24" s="88"/>
      <c r="J24" s="111"/>
      <c r="K24" s="145">
        <f>($R$3*L24)*(100%+N24)</f>
        <v>0</v>
      </c>
      <c r="L24" s="132">
        <f>(M24*(100%+O24))</f>
        <v>0</v>
      </c>
      <c r="M24" s="366"/>
      <c r="N24" s="126">
        <v>1.05</v>
      </c>
      <c r="O24" s="126">
        <v>0</v>
      </c>
    </row>
    <row r="25" spans="2:15" ht="7.5" customHeight="1" x14ac:dyDescent="0.35">
      <c r="B25" s="83"/>
      <c r="C25" s="88"/>
      <c r="D25" s="139"/>
      <c r="E25" s="83"/>
      <c r="F25" s="88"/>
      <c r="G25" s="52"/>
      <c r="H25" s="88"/>
      <c r="I25" s="88"/>
      <c r="J25" s="111"/>
      <c r="K25" s="131"/>
      <c r="L25" s="132"/>
      <c r="M25" s="292"/>
    </row>
    <row r="26" spans="2:15" ht="7.5" customHeight="1" x14ac:dyDescent="0.35">
      <c r="B26" s="83"/>
      <c r="C26" s="88"/>
      <c r="D26" s="139"/>
      <c r="E26" s="83"/>
      <c r="F26" s="88"/>
      <c r="G26" s="52"/>
      <c r="H26" s="88"/>
      <c r="I26" s="88"/>
      <c r="J26" s="111"/>
      <c r="K26" s="131"/>
      <c r="L26" s="132"/>
      <c r="M26" s="292"/>
    </row>
    <row r="27" spans="2:15" x14ac:dyDescent="0.35">
      <c r="B27" s="17" t="s">
        <v>315</v>
      </c>
      <c r="L27" s="132"/>
    </row>
    <row r="28" spans="2:15" x14ac:dyDescent="0.35">
      <c r="L28" s="132"/>
    </row>
    <row r="29" spans="2:15" x14ac:dyDescent="0.35">
      <c r="B29" s="26" t="s">
        <v>27</v>
      </c>
      <c r="C29" s="45"/>
      <c r="D29" s="39" t="s">
        <v>110</v>
      </c>
      <c r="E29" s="28"/>
      <c r="F29" s="27"/>
      <c r="G29" s="39" t="s">
        <v>165</v>
      </c>
      <c r="H29" s="27"/>
      <c r="I29" s="27"/>
      <c r="J29" s="23"/>
      <c r="K29" s="131" t="s">
        <v>303</v>
      </c>
      <c r="L29" s="139" t="s">
        <v>90</v>
      </c>
      <c r="M29" s="140" t="s">
        <v>30</v>
      </c>
      <c r="N29" s="139" t="s">
        <v>161</v>
      </c>
      <c r="O29" s="19"/>
    </row>
    <row r="30" spans="2:15" ht="12.45" customHeight="1" x14ac:dyDescent="0.35">
      <c r="B30" s="83">
        <v>5020100013</v>
      </c>
      <c r="C30" s="26"/>
      <c r="D30" s="39" t="s">
        <v>316</v>
      </c>
      <c r="E30" s="83"/>
      <c r="F30" s="26"/>
      <c r="G30" s="26" t="s">
        <v>314</v>
      </c>
      <c r="H30" s="26"/>
      <c r="I30" s="26"/>
      <c r="J30" s="93"/>
      <c r="K30" s="134">
        <f t="shared" ref="K30:K35" si="0">$R$3*N30</f>
        <v>0</v>
      </c>
      <c r="L30" s="105">
        <f t="shared" ref="L30:L35" si="1">N30*(100%-M30)</f>
        <v>5.85</v>
      </c>
      <c r="M30" s="293">
        <v>0.67500000000000004</v>
      </c>
      <c r="N30" s="264">
        <v>18</v>
      </c>
      <c r="O30" s="19"/>
    </row>
    <row r="31" spans="2:15" ht="12.45" customHeight="1" x14ac:dyDescent="0.35">
      <c r="B31" s="83">
        <v>5020100014</v>
      </c>
      <c r="C31" s="26"/>
      <c r="D31" s="39" t="s">
        <v>317</v>
      </c>
      <c r="E31" s="83"/>
      <c r="F31" s="26"/>
      <c r="G31" s="26" t="s">
        <v>314</v>
      </c>
      <c r="H31" s="26"/>
      <c r="I31" s="26"/>
      <c r="J31" s="93"/>
      <c r="K31" s="134">
        <f t="shared" si="0"/>
        <v>0</v>
      </c>
      <c r="L31" s="105">
        <f t="shared" si="1"/>
        <v>7.2474999999999996</v>
      </c>
      <c r="M31" s="293">
        <v>0.67500000000000004</v>
      </c>
      <c r="N31" s="264">
        <v>22.3</v>
      </c>
      <c r="O31" s="19"/>
    </row>
    <row r="32" spans="2:15" ht="12.45" customHeight="1" x14ac:dyDescent="0.35">
      <c r="B32" s="83">
        <v>5020100015</v>
      </c>
      <c r="C32" s="88"/>
      <c r="D32" s="39" t="s">
        <v>316</v>
      </c>
      <c r="E32" s="83"/>
      <c r="F32" s="26"/>
      <c r="G32" s="52" t="s">
        <v>225</v>
      </c>
      <c r="H32" s="88"/>
      <c r="I32" s="88"/>
      <c r="J32" s="111"/>
      <c r="K32" s="134">
        <f t="shared" si="0"/>
        <v>0</v>
      </c>
      <c r="L32" s="105">
        <f t="shared" si="1"/>
        <v>7.8324999999999996</v>
      </c>
      <c r="M32" s="293">
        <v>0.67500000000000004</v>
      </c>
      <c r="N32" s="264">
        <v>24.1</v>
      </c>
      <c r="O32" s="19"/>
    </row>
    <row r="33" spans="2:15" ht="12.45" customHeight="1" x14ac:dyDescent="0.35">
      <c r="B33" s="83">
        <v>5020100016</v>
      </c>
      <c r="C33" s="88"/>
      <c r="D33" s="39" t="s">
        <v>317</v>
      </c>
      <c r="E33" s="83"/>
      <c r="F33" s="26"/>
      <c r="G33" s="52" t="s">
        <v>225</v>
      </c>
      <c r="H33" s="88"/>
      <c r="I33" s="88"/>
      <c r="J33" s="111"/>
      <c r="K33" s="134">
        <f t="shared" si="0"/>
        <v>0</v>
      </c>
      <c r="L33" s="105">
        <f t="shared" si="1"/>
        <v>9.9124999999999979</v>
      </c>
      <c r="M33" s="293">
        <v>0.67500000000000004</v>
      </c>
      <c r="N33" s="264">
        <v>30.5</v>
      </c>
      <c r="O33" s="19"/>
    </row>
    <row r="34" spans="2:15" ht="12.45" customHeight="1" x14ac:dyDescent="0.35">
      <c r="B34" s="83">
        <v>5020100017</v>
      </c>
      <c r="C34" s="88"/>
      <c r="D34" s="39" t="s">
        <v>316</v>
      </c>
      <c r="E34" s="83"/>
      <c r="F34" s="88"/>
      <c r="G34" s="52" t="s">
        <v>199</v>
      </c>
      <c r="H34" s="88"/>
      <c r="I34" s="88"/>
      <c r="J34" s="111"/>
      <c r="K34" s="134">
        <f t="shared" si="0"/>
        <v>0</v>
      </c>
      <c r="L34" s="105">
        <f t="shared" si="1"/>
        <v>5.85</v>
      </c>
      <c r="M34" s="293">
        <v>0.67500000000000004</v>
      </c>
      <c r="N34" s="264">
        <v>18</v>
      </c>
      <c r="O34" s="19"/>
    </row>
    <row r="35" spans="2:15" ht="12.45" customHeight="1" x14ac:dyDescent="0.35">
      <c r="B35" s="83">
        <v>5020100018</v>
      </c>
      <c r="C35" s="88"/>
      <c r="D35" s="39" t="s">
        <v>317</v>
      </c>
      <c r="E35" s="83"/>
      <c r="F35" s="88"/>
      <c r="G35" s="52" t="s">
        <v>199</v>
      </c>
      <c r="H35" s="88"/>
      <c r="I35" s="88"/>
      <c r="J35" s="111"/>
      <c r="K35" s="134">
        <f t="shared" si="0"/>
        <v>0</v>
      </c>
      <c r="L35" s="105">
        <f t="shared" si="1"/>
        <v>7.2474999999999996</v>
      </c>
      <c r="M35" s="293">
        <v>0.67500000000000004</v>
      </c>
      <c r="N35" s="264">
        <v>22.3</v>
      </c>
      <c r="O35" s="19"/>
    </row>
    <row r="36" spans="2:15" ht="15" customHeight="1" x14ac:dyDescent="0.35">
      <c r="B36" s="83"/>
      <c r="C36" s="88"/>
      <c r="D36" s="139"/>
      <c r="E36" s="83"/>
      <c r="F36" s="88"/>
      <c r="G36" s="88"/>
      <c r="H36" s="88"/>
      <c r="I36" s="88"/>
      <c r="J36" s="111"/>
      <c r="K36" s="131"/>
      <c r="L36" s="132"/>
      <c r="M36" s="292"/>
    </row>
    <row r="37" spans="2:15" x14ac:dyDescent="0.35">
      <c r="B37" s="17" t="s">
        <v>699</v>
      </c>
      <c r="L37" s="132"/>
    </row>
    <row r="38" spans="2:15" x14ac:dyDescent="0.35">
      <c r="L38" s="132"/>
    </row>
    <row r="39" spans="2:15" x14ac:dyDescent="0.35">
      <c r="B39" s="26" t="s">
        <v>27</v>
      </c>
      <c r="C39" s="45"/>
      <c r="D39" s="39" t="s">
        <v>110</v>
      </c>
      <c r="E39" s="28"/>
      <c r="F39" s="27" t="s">
        <v>165</v>
      </c>
      <c r="G39" s="27"/>
      <c r="H39" s="27"/>
      <c r="I39" s="27"/>
      <c r="J39" s="23"/>
      <c r="K39" s="131" t="s">
        <v>308</v>
      </c>
      <c r="L39" s="132"/>
      <c r="M39" s="139" t="s">
        <v>90</v>
      </c>
      <c r="N39" s="108" t="s">
        <v>39</v>
      </c>
      <c r="O39" s="133" t="s">
        <v>40</v>
      </c>
    </row>
    <row r="40" spans="2:15" ht="12.45" customHeight="1" x14ac:dyDescent="0.35">
      <c r="B40" s="83">
        <v>5020260001</v>
      </c>
      <c r="C40" s="26"/>
      <c r="D40" s="39" t="s">
        <v>306</v>
      </c>
      <c r="E40" s="83"/>
      <c r="F40" s="26" t="s">
        <v>124</v>
      </c>
      <c r="G40" s="26"/>
      <c r="H40" s="26"/>
      <c r="I40" s="26"/>
      <c r="J40" s="93"/>
      <c r="K40" s="134">
        <f>($R$3*L40)*(100%+N40)</f>
        <v>0</v>
      </c>
      <c r="L40" s="132">
        <f>(M40*(100%+O40))</f>
        <v>229.49100000000001</v>
      </c>
      <c r="M40" s="275">
        <v>177.9</v>
      </c>
      <c r="N40" s="126">
        <v>0.59045999999999998</v>
      </c>
      <c r="O40" s="126">
        <v>0.28999999999999998</v>
      </c>
    </row>
    <row r="41" spans="2:15" ht="12.45" customHeight="1" x14ac:dyDescent="0.35">
      <c r="B41" s="83">
        <v>5020260002</v>
      </c>
      <c r="C41" s="26"/>
      <c r="D41" s="39" t="s">
        <v>307</v>
      </c>
      <c r="E41" s="83"/>
      <c r="F41" s="26" t="s">
        <v>124</v>
      </c>
      <c r="G41" s="26"/>
      <c r="H41" s="26"/>
      <c r="I41" s="26"/>
      <c r="J41" s="93"/>
      <c r="K41" s="134">
        <f>($R$3*L41)*(100%+N41)</f>
        <v>0</v>
      </c>
      <c r="L41" s="132">
        <f>(M41*(100%+O41))</f>
        <v>229.49100000000001</v>
      </c>
      <c r="M41" s="275">
        <v>177.9</v>
      </c>
      <c r="N41" s="126">
        <v>0.59045999999999998</v>
      </c>
      <c r="O41" s="126">
        <v>0.28999999999999998</v>
      </c>
    </row>
    <row r="42" spans="2:15" ht="15" customHeight="1" x14ac:dyDescent="0.35">
      <c r="B42" s="83"/>
      <c r="C42" s="26"/>
      <c r="D42" s="39"/>
      <c r="E42" s="83"/>
      <c r="F42" s="26"/>
      <c r="G42" s="26"/>
      <c r="H42" s="26"/>
      <c r="I42" s="26"/>
      <c r="J42" s="93"/>
      <c r="K42" s="131"/>
      <c r="L42" s="132"/>
      <c r="M42" s="226"/>
    </row>
    <row r="43" spans="2:15" x14ac:dyDescent="0.35">
      <c r="B43" s="17" t="s">
        <v>700</v>
      </c>
      <c r="L43" s="132"/>
    </row>
    <row r="44" spans="2:15" x14ac:dyDescent="0.35">
      <c r="L44" s="132"/>
    </row>
    <row r="45" spans="2:15" x14ac:dyDescent="0.35">
      <c r="B45" s="26" t="s">
        <v>27</v>
      </c>
      <c r="C45" s="45"/>
      <c r="D45" s="39" t="s">
        <v>110</v>
      </c>
      <c r="E45" s="28"/>
      <c r="F45" s="27" t="s">
        <v>165</v>
      </c>
      <c r="G45" s="27"/>
      <c r="H45" s="27"/>
      <c r="I45" s="27"/>
      <c r="J45" s="23"/>
      <c r="K45" s="131" t="s">
        <v>308</v>
      </c>
      <c r="L45" s="132"/>
      <c r="M45" s="139" t="s">
        <v>90</v>
      </c>
      <c r="N45" s="108" t="s">
        <v>39</v>
      </c>
      <c r="O45" s="133" t="s">
        <v>40</v>
      </c>
    </row>
    <row r="46" spans="2:15" ht="12.45" customHeight="1" x14ac:dyDescent="0.35">
      <c r="B46" s="83">
        <v>5020260003</v>
      </c>
      <c r="C46" s="26"/>
      <c r="D46" s="39" t="s">
        <v>309</v>
      </c>
      <c r="E46" s="83"/>
      <c r="F46" s="26" t="s">
        <v>124</v>
      </c>
      <c r="G46" s="26"/>
      <c r="H46" s="26"/>
      <c r="I46" s="26"/>
      <c r="J46" s="93"/>
      <c r="K46" s="134">
        <f>($R$3*L46)*(100%+N46)</f>
        <v>0</v>
      </c>
      <c r="L46" s="132">
        <f>(M46*(100%+O46))</f>
        <v>343.14</v>
      </c>
      <c r="M46" s="275">
        <v>266</v>
      </c>
      <c r="N46" s="126">
        <v>0.70484000000000002</v>
      </c>
      <c r="O46" s="126">
        <v>0.28999999999999998</v>
      </c>
    </row>
    <row r="47" spans="2:15" ht="12.45" customHeight="1" x14ac:dyDescent="0.35">
      <c r="B47" s="83">
        <v>5020260004</v>
      </c>
      <c r="C47" s="26"/>
      <c r="D47" s="39" t="s">
        <v>309</v>
      </c>
      <c r="E47" s="83"/>
      <c r="F47" s="26" t="s">
        <v>225</v>
      </c>
      <c r="G47" s="26"/>
      <c r="H47" s="26"/>
      <c r="I47" s="26"/>
      <c r="J47" s="93"/>
      <c r="K47" s="134">
        <f>($R$3*L47)*(100%+N47)</f>
        <v>0</v>
      </c>
      <c r="L47" s="132">
        <f>(M47*(100%+O47))</f>
        <v>1954.3500000000001</v>
      </c>
      <c r="M47" s="275">
        <v>1515</v>
      </c>
      <c r="N47" s="126">
        <v>0.80520199999999997</v>
      </c>
      <c r="O47" s="126">
        <v>0.28999999999999998</v>
      </c>
    </row>
    <row r="48" spans="2:15" ht="15" customHeight="1" x14ac:dyDescent="0.35">
      <c r="B48" s="83"/>
      <c r="C48" s="26"/>
      <c r="D48" s="39"/>
      <c r="E48" s="83"/>
      <c r="F48" s="26"/>
      <c r="G48" s="26"/>
      <c r="H48" s="26"/>
      <c r="I48" s="26"/>
      <c r="J48" s="93"/>
      <c r="K48" s="131"/>
      <c r="L48" s="132"/>
      <c r="M48" s="275"/>
    </row>
    <row r="49" spans="1:17" x14ac:dyDescent="0.35">
      <c r="B49" s="17" t="s">
        <v>701</v>
      </c>
      <c r="L49" s="132"/>
    </row>
    <row r="50" spans="1:17" x14ac:dyDescent="0.35">
      <c r="L50" s="132"/>
    </row>
    <row r="51" spans="1:17" x14ac:dyDescent="0.35">
      <c r="B51" s="26" t="s">
        <v>27</v>
      </c>
      <c r="C51" s="45"/>
      <c r="D51" s="39" t="s">
        <v>110</v>
      </c>
      <c r="E51" s="28"/>
      <c r="F51" s="27" t="s">
        <v>165</v>
      </c>
      <c r="G51" s="27" t="s">
        <v>304</v>
      </c>
      <c r="H51" s="27"/>
      <c r="I51" s="27"/>
      <c r="J51" s="23"/>
      <c r="K51" s="131"/>
      <c r="L51" s="132"/>
      <c r="M51" s="139" t="s">
        <v>90</v>
      </c>
      <c r="N51" s="108" t="s">
        <v>39</v>
      </c>
      <c r="O51" s="133" t="s">
        <v>40</v>
      </c>
    </row>
    <row r="52" spans="1:17" ht="12.45" customHeight="1" x14ac:dyDescent="0.35">
      <c r="B52" s="83">
        <v>5020270001</v>
      </c>
      <c r="C52" s="26"/>
      <c r="D52" s="39" t="s">
        <v>309</v>
      </c>
      <c r="E52" s="83"/>
      <c r="F52" s="26" t="s">
        <v>314</v>
      </c>
      <c r="G52" s="26" t="s">
        <v>311</v>
      </c>
      <c r="H52" s="26"/>
      <c r="I52" s="26"/>
      <c r="J52" s="131" t="s">
        <v>310</v>
      </c>
      <c r="K52" s="134">
        <f>($R$3*L52)*(100%+N52)</f>
        <v>0</v>
      </c>
      <c r="L52" s="132">
        <f>(M52*(100%+O52))</f>
        <v>343.14</v>
      </c>
      <c r="M52" s="275">
        <v>266</v>
      </c>
      <c r="N52" s="126">
        <v>0.70484000000000002</v>
      </c>
      <c r="O52" s="126">
        <v>0.28999999999999998</v>
      </c>
    </row>
    <row r="53" spans="1:17" ht="12.45" customHeight="1" x14ac:dyDescent="0.35">
      <c r="B53" s="83">
        <v>5020270002</v>
      </c>
      <c r="C53" s="26"/>
      <c r="D53" s="39" t="s">
        <v>309</v>
      </c>
      <c r="E53" s="83"/>
      <c r="F53" s="26" t="s">
        <v>314</v>
      </c>
      <c r="G53" s="26" t="s">
        <v>313</v>
      </c>
      <c r="H53" s="26"/>
      <c r="I53" s="26"/>
      <c r="J53" s="131" t="s">
        <v>702</v>
      </c>
      <c r="K53" s="134">
        <f>($R$3*L53)*(100%+N53)</f>
        <v>0</v>
      </c>
      <c r="L53" s="132">
        <f>(M53*(100%+O53))</f>
        <v>1954.3500000000001</v>
      </c>
      <c r="M53" s="275">
        <v>1515</v>
      </c>
      <c r="N53" s="126">
        <v>0.80520199999999997</v>
      </c>
      <c r="O53" s="126">
        <v>0.28999999999999998</v>
      </c>
    </row>
    <row r="54" spans="1:17" ht="12.45" customHeight="1" x14ac:dyDescent="0.35">
      <c r="B54" s="83"/>
      <c r="C54" s="26"/>
      <c r="D54" s="39"/>
      <c r="E54" s="83"/>
      <c r="F54" s="26"/>
      <c r="G54" s="26"/>
      <c r="H54" s="26"/>
      <c r="I54" s="26"/>
      <c r="J54" s="131"/>
      <c r="K54" s="131"/>
      <c r="L54" s="132"/>
      <c r="M54" s="275"/>
    </row>
    <row r="55" spans="1:17" x14ac:dyDescent="0.35">
      <c r="B55" s="17" t="s">
        <v>703</v>
      </c>
      <c r="L55" s="132"/>
    </row>
    <row r="56" spans="1:17" x14ac:dyDescent="0.35">
      <c r="L56" s="132"/>
    </row>
    <row r="57" spans="1:17" x14ac:dyDescent="0.35">
      <c r="B57" s="26" t="s">
        <v>27</v>
      </c>
      <c r="C57" s="45"/>
      <c r="D57" s="39" t="s">
        <v>110</v>
      </c>
      <c r="E57" s="28"/>
      <c r="F57" s="27" t="s">
        <v>165</v>
      </c>
      <c r="G57" s="27" t="s">
        <v>304</v>
      </c>
      <c r="H57" s="27"/>
      <c r="I57" s="27"/>
      <c r="J57" s="23"/>
      <c r="K57" s="131" t="s">
        <v>303</v>
      </c>
      <c r="L57" s="139" t="s">
        <v>90</v>
      </c>
      <c r="M57" s="140" t="s">
        <v>30</v>
      </c>
      <c r="N57" s="139" t="s">
        <v>161</v>
      </c>
      <c r="O57" s="133"/>
    </row>
    <row r="58" spans="1:17" ht="12.45" customHeight="1" x14ac:dyDescent="0.35">
      <c r="B58" s="83">
        <v>5020100019</v>
      </c>
      <c r="C58" s="26"/>
      <c r="D58" s="39" t="s">
        <v>509</v>
      </c>
      <c r="E58" s="83"/>
      <c r="F58" s="26" t="s">
        <v>314</v>
      </c>
      <c r="G58" s="26" t="s">
        <v>512</v>
      </c>
      <c r="H58" s="26"/>
      <c r="I58" s="26"/>
      <c r="J58" s="131"/>
      <c r="K58" s="134">
        <f>$R$3*N58</f>
        <v>0</v>
      </c>
      <c r="L58" s="105">
        <f>N58*(100%-M58)</f>
        <v>6.7650000000000006</v>
      </c>
      <c r="M58" s="293">
        <v>0.45</v>
      </c>
      <c r="N58" s="264">
        <v>12.3</v>
      </c>
    </row>
    <row r="59" spans="1:17" ht="12.45" customHeight="1" x14ac:dyDescent="0.35">
      <c r="B59" s="83">
        <v>5020100020</v>
      </c>
      <c r="C59" s="26"/>
      <c r="D59" s="39" t="s">
        <v>510</v>
      </c>
      <c r="E59" s="83"/>
      <c r="F59" s="26" t="s">
        <v>225</v>
      </c>
      <c r="G59" s="26" t="s">
        <v>512</v>
      </c>
      <c r="H59" s="26"/>
      <c r="I59" s="26"/>
      <c r="J59" s="131"/>
      <c r="K59" s="134">
        <f>$R$3*N59</f>
        <v>0</v>
      </c>
      <c r="L59" s="105">
        <f>N59*(100%-M59)</f>
        <v>7.6890000000000009</v>
      </c>
      <c r="M59" s="293">
        <v>0.45</v>
      </c>
      <c r="N59" s="264">
        <v>13.98</v>
      </c>
    </row>
    <row r="60" spans="1:17" ht="12.45" customHeight="1" x14ac:dyDescent="0.35">
      <c r="B60" s="83">
        <v>5020100021</v>
      </c>
      <c r="C60" s="26"/>
      <c r="D60" s="39" t="s">
        <v>511</v>
      </c>
      <c r="E60" s="83"/>
      <c r="F60" s="26" t="s">
        <v>120</v>
      </c>
      <c r="G60" s="26" t="s">
        <v>512</v>
      </c>
      <c r="H60" s="26"/>
      <c r="I60" s="26"/>
      <c r="J60" s="131"/>
      <c r="K60" s="134">
        <f>$R$3*N60</f>
        <v>0</v>
      </c>
      <c r="L60" s="105">
        <f>N60*(100%-M60)</f>
        <v>5.0049999999999999</v>
      </c>
      <c r="M60" s="293">
        <v>0.45</v>
      </c>
      <c r="N60" s="264">
        <v>9.1</v>
      </c>
    </row>
    <row r="61" spans="1:17" ht="12.45" customHeight="1" x14ac:dyDescent="0.35">
      <c r="B61" s="83">
        <v>5020100022</v>
      </c>
      <c r="C61" s="26"/>
      <c r="D61" s="39" t="s">
        <v>510</v>
      </c>
      <c r="E61" s="83"/>
      <c r="F61" s="26" t="s">
        <v>120</v>
      </c>
      <c r="G61" s="26" t="s">
        <v>512</v>
      </c>
      <c r="H61" s="26"/>
      <c r="I61" s="26"/>
      <c r="J61" s="131"/>
      <c r="K61" s="134">
        <f>$R$3*N61</f>
        <v>0</v>
      </c>
      <c r="L61" s="105">
        <f>N61*(100%-M61)</f>
        <v>5.3955000000000011</v>
      </c>
      <c r="M61" s="293">
        <v>0.45</v>
      </c>
      <c r="N61" s="264">
        <v>9.81</v>
      </c>
    </row>
    <row r="62" spans="1:17" ht="12.45" customHeight="1" x14ac:dyDescent="0.35">
      <c r="B62" s="83"/>
      <c r="C62" s="26"/>
      <c r="D62" s="39"/>
      <c r="E62" s="83"/>
      <c r="F62" s="26"/>
      <c r="G62" s="26"/>
      <c r="H62" s="26"/>
      <c r="I62" s="26"/>
      <c r="J62" s="131"/>
      <c r="K62" s="131"/>
      <c r="L62" s="132"/>
      <c r="M62" s="275"/>
    </row>
    <row r="63" spans="1:17" s="92" customFormat="1" x14ac:dyDescent="0.35">
      <c r="A63" s="19"/>
      <c r="B63" s="17" t="s">
        <v>704</v>
      </c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294"/>
      <c r="N63" s="125"/>
      <c r="O63" s="21"/>
      <c r="P63" s="127"/>
      <c r="Q63" s="127"/>
    </row>
    <row r="64" spans="1:17" s="117" customFormat="1" ht="12.45" customHeight="1" x14ac:dyDescent="0.35">
      <c r="A64" s="19"/>
      <c r="B64" s="17"/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294"/>
      <c r="N64" s="125"/>
      <c r="O64" s="19"/>
      <c r="P64" s="126"/>
      <c r="Q64" s="126"/>
    </row>
    <row r="65" spans="1:17" s="117" customFormat="1" ht="12.45" customHeight="1" x14ac:dyDescent="0.35">
      <c r="A65" s="19"/>
      <c r="B65" s="26" t="s">
        <v>27</v>
      </c>
      <c r="C65" s="45"/>
      <c r="D65" s="39"/>
      <c r="E65" s="27"/>
      <c r="F65" s="27"/>
      <c r="G65" s="27"/>
      <c r="H65" s="27"/>
      <c r="I65" s="27"/>
      <c r="J65" s="27"/>
      <c r="K65" s="131" t="s">
        <v>77</v>
      </c>
      <c r="L65" s="132"/>
      <c r="M65" s="139" t="s">
        <v>90</v>
      </c>
      <c r="N65" s="108" t="s">
        <v>39</v>
      </c>
      <c r="O65" s="133" t="s">
        <v>40</v>
      </c>
    </row>
    <row r="66" spans="1:17" s="117" customFormat="1" ht="12.45" customHeight="1" x14ac:dyDescent="0.35">
      <c r="A66" s="26"/>
      <c r="B66" s="83">
        <v>5020240006</v>
      </c>
      <c r="C66" s="26"/>
      <c r="D66" s="39" t="s">
        <v>155</v>
      </c>
      <c r="E66" s="39"/>
      <c r="F66" s="26"/>
      <c r="G66" s="26"/>
      <c r="H66" s="26"/>
      <c r="I66" s="26"/>
      <c r="J66" s="26"/>
      <c r="K66" s="134">
        <f>($R$3*L66)*(100%+N66)</f>
        <v>0</v>
      </c>
      <c r="L66" s="132">
        <f>(M66*(100%+O66))</f>
        <v>2.49335</v>
      </c>
      <c r="M66" s="320">
        <v>2.35</v>
      </c>
      <c r="N66" s="126">
        <v>1.25</v>
      </c>
      <c r="O66" s="136">
        <v>6.0999999999999999E-2</v>
      </c>
    </row>
    <row r="67" spans="1:17" ht="7.5" customHeight="1" x14ac:dyDescent="0.35">
      <c r="K67" s="19"/>
      <c r="L67" s="19"/>
      <c r="M67" s="294"/>
      <c r="N67" s="125"/>
      <c r="O67" s="19"/>
      <c r="P67" s="126"/>
      <c r="Q67" s="126"/>
    </row>
    <row r="68" spans="1:17" ht="7.5" customHeight="1" x14ac:dyDescent="0.35">
      <c r="B68" s="100"/>
      <c r="C68" s="88"/>
      <c r="D68" s="139"/>
      <c r="E68" s="83"/>
      <c r="F68" s="88"/>
      <c r="G68" s="88"/>
      <c r="H68" s="88"/>
      <c r="I68" s="88"/>
      <c r="J68" s="111"/>
      <c r="K68" s="131"/>
      <c r="L68" s="132"/>
      <c r="M68" s="292"/>
    </row>
    <row r="69" spans="1:17" x14ac:dyDescent="0.35">
      <c r="B69" s="17" t="s">
        <v>705</v>
      </c>
      <c r="K69" s="19"/>
      <c r="L69" s="19"/>
      <c r="N69" s="19"/>
      <c r="O69" s="19"/>
    </row>
    <row r="70" spans="1:17" x14ac:dyDescent="0.35">
      <c r="K70" s="45"/>
      <c r="L70" s="45"/>
      <c r="M70" s="226"/>
      <c r="N70" s="19"/>
      <c r="O70" s="45"/>
      <c r="P70" s="45"/>
      <c r="Q70" s="45"/>
    </row>
    <row r="71" spans="1:17" s="45" customFormat="1" ht="12.45" customHeight="1" x14ac:dyDescent="0.35">
      <c r="B71" s="26" t="s">
        <v>27</v>
      </c>
      <c r="C71" s="28"/>
      <c r="D71" s="39"/>
      <c r="E71" s="28"/>
      <c r="F71" s="23"/>
      <c r="G71" s="70"/>
      <c r="H71" s="70"/>
      <c r="I71" s="70"/>
      <c r="J71" s="70"/>
      <c r="K71" s="131" t="s">
        <v>77</v>
      </c>
      <c r="L71" s="132"/>
      <c r="M71" s="139" t="s">
        <v>90</v>
      </c>
      <c r="N71" s="108" t="s">
        <v>39</v>
      </c>
      <c r="O71" s="133" t="s">
        <v>40</v>
      </c>
    </row>
    <row r="72" spans="1:17" s="117" customFormat="1" ht="12.45" customHeight="1" x14ac:dyDescent="0.35">
      <c r="B72" s="103">
        <v>9060020006</v>
      </c>
      <c r="C72" s="82"/>
      <c r="D72" s="82" t="s">
        <v>124</v>
      </c>
      <c r="E72" s="52"/>
      <c r="F72" s="52"/>
      <c r="G72" s="52"/>
      <c r="H72" s="52"/>
      <c r="I72" s="52"/>
      <c r="J72" s="118"/>
      <c r="K72" s="134">
        <f>($R$3*L72)*(100%+N72)</f>
        <v>0</v>
      </c>
      <c r="L72" s="132">
        <f>(M72*(100%+O72))</f>
        <v>1.5645</v>
      </c>
      <c r="M72" s="320">
        <v>1.49</v>
      </c>
      <c r="N72" s="126">
        <v>1.35</v>
      </c>
      <c r="O72" s="136">
        <v>0.05</v>
      </c>
      <c r="P72" s="95"/>
    </row>
    <row r="73" spans="1:17" s="117" customFormat="1" ht="7.5" customHeight="1" x14ac:dyDescent="0.35">
      <c r="B73" s="103"/>
      <c r="C73" s="82"/>
      <c r="D73" s="82"/>
      <c r="E73" s="52"/>
      <c r="F73" s="52"/>
      <c r="G73" s="52"/>
      <c r="H73" s="52"/>
      <c r="I73" s="52"/>
      <c r="J73" s="52"/>
      <c r="K73" s="106"/>
      <c r="M73" s="275"/>
      <c r="N73" s="94"/>
      <c r="O73" s="45"/>
      <c r="P73" s="95"/>
    </row>
    <row r="74" spans="1:17" s="117" customFormat="1" ht="7.5" customHeight="1" x14ac:dyDescent="0.35">
      <c r="B74" s="103"/>
      <c r="C74" s="82"/>
      <c r="D74" s="82"/>
      <c r="E74" s="52"/>
      <c r="F74" s="52"/>
      <c r="G74" s="52"/>
      <c r="H74" s="52"/>
      <c r="I74" s="52"/>
      <c r="J74" s="52"/>
      <c r="K74" s="106"/>
      <c r="M74" s="275"/>
      <c r="N74" s="94"/>
      <c r="O74" s="45"/>
      <c r="P74" s="95"/>
    </row>
    <row r="75" spans="1:17" x14ac:dyDescent="0.35">
      <c r="B75" s="17" t="s">
        <v>706</v>
      </c>
      <c r="K75" s="19"/>
      <c r="L75" s="19"/>
      <c r="N75" s="19"/>
      <c r="O75" s="19"/>
    </row>
    <row r="76" spans="1:17" x14ac:dyDescent="0.35">
      <c r="K76" s="45"/>
      <c r="L76" s="45"/>
      <c r="N76" s="45"/>
      <c r="O76" s="45"/>
      <c r="P76" s="45"/>
    </row>
    <row r="77" spans="1:17" s="45" customFormat="1" ht="12.45" customHeight="1" x14ac:dyDescent="0.35">
      <c r="B77" s="26" t="s">
        <v>27</v>
      </c>
      <c r="C77" s="28"/>
      <c r="D77" s="39" t="s">
        <v>86</v>
      </c>
      <c r="E77" s="28"/>
      <c r="F77" s="39" t="s">
        <v>318</v>
      </c>
      <c r="G77" s="70"/>
      <c r="H77" s="70"/>
      <c r="I77" s="70"/>
      <c r="J77" s="70"/>
      <c r="K77" s="131" t="s">
        <v>77</v>
      </c>
      <c r="L77" s="132"/>
      <c r="M77" s="139" t="s">
        <v>90</v>
      </c>
      <c r="N77" s="108" t="s">
        <v>39</v>
      </c>
      <c r="O77" s="133" t="s">
        <v>40</v>
      </c>
    </row>
    <row r="78" spans="1:17" s="117" customFormat="1" ht="12.45" customHeight="1" x14ac:dyDescent="0.35">
      <c r="B78" s="103">
        <v>9010060002</v>
      </c>
      <c r="C78" s="82"/>
      <c r="D78" s="82" t="s">
        <v>102</v>
      </c>
      <c r="E78" s="52" t="s">
        <v>119</v>
      </c>
      <c r="F78" s="82" t="s">
        <v>319</v>
      </c>
      <c r="G78" s="52"/>
      <c r="H78" s="52"/>
      <c r="I78" s="52"/>
      <c r="J78" s="118"/>
      <c r="K78" s="134">
        <f>($R$3*L78)*(100%+N78)</f>
        <v>0</v>
      </c>
      <c r="L78" s="132">
        <f>(M78*(100%+O78))</f>
        <v>15.63</v>
      </c>
      <c r="M78" s="320">
        <v>15.63</v>
      </c>
      <c r="N78" s="126">
        <v>0.92</v>
      </c>
      <c r="O78" s="136">
        <v>0</v>
      </c>
      <c r="P78" s="95"/>
    </row>
    <row r="79" spans="1:17" ht="12.45" customHeight="1" x14ac:dyDescent="0.35">
      <c r="B79" s="103">
        <v>9050060001</v>
      </c>
      <c r="C79" s="82"/>
      <c r="D79" s="82" t="s">
        <v>118</v>
      </c>
      <c r="E79" s="52" t="s">
        <v>119</v>
      </c>
      <c r="F79" s="82" t="s">
        <v>320</v>
      </c>
      <c r="G79" s="52"/>
      <c r="H79" s="52"/>
      <c r="I79" s="52"/>
      <c r="J79" s="118"/>
      <c r="K79" s="134">
        <f>($R$3*L79)*(100%+N79)</f>
        <v>0</v>
      </c>
      <c r="L79" s="132">
        <f>(M79*(100%+O79))</f>
        <v>3.1500000000000004</v>
      </c>
      <c r="M79" s="320">
        <v>3</v>
      </c>
      <c r="N79" s="126">
        <v>0.9</v>
      </c>
      <c r="O79" s="136">
        <v>0.05</v>
      </c>
      <c r="P79" s="95"/>
    </row>
    <row r="80" spans="1:17" x14ac:dyDescent="0.35">
      <c r="B80" s="100"/>
      <c r="C80" s="88"/>
      <c r="D80" s="139"/>
      <c r="E80" s="83"/>
      <c r="F80" s="88"/>
      <c r="G80" s="88"/>
      <c r="H80" s="88"/>
      <c r="I80" s="88"/>
      <c r="J80" s="111"/>
      <c r="K80" s="131"/>
      <c r="L80" s="142"/>
      <c r="M80" s="295"/>
      <c r="O80" s="19"/>
    </row>
    <row r="81" spans="2:16" x14ac:dyDescent="0.35">
      <c r="B81" s="17" t="s">
        <v>121</v>
      </c>
      <c r="K81" s="19"/>
      <c r="L81" s="19"/>
      <c r="N81" s="19"/>
      <c r="O81" s="19"/>
    </row>
    <row r="82" spans="2:16" ht="11.15" customHeight="1" x14ac:dyDescent="0.35">
      <c r="K82" s="45"/>
      <c r="L82" s="45"/>
      <c r="N82" s="45"/>
      <c r="O82" s="45"/>
      <c r="P82" s="45"/>
    </row>
    <row r="83" spans="2:16" s="45" customFormat="1" ht="12.45" customHeight="1" x14ac:dyDescent="0.35">
      <c r="B83" s="26" t="s">
        <v>27</v>
      </c>
      <c r="C83" s="28"/>
      <c r="D83" s="39"/>
      <c r="E83" s="28"/>
      <c r="F83" s="39" t="s">
        <v>318</v>
      </c>
      <c r="G83" s="70"/>
      <c r="H83" s="70"/>
      <c r="I83" s="70"/>
      <c r="J83" s="70"/>
      <c r="K83" s="131" t="s">
        <v>77</v>
      </c>
      <c r="L83" s="132"/>
      <c r="M83" s="139" t="s">
        <v>90</v>
      </c>
      <c r="N83" s="108" t="s">
        <v>39</v>
      </c>
      <c r="O83" s="133" t="s">
        <v>40</v>
      </c>
    </row>
    <row r="84" spans="2:16" s="45" customFormat="1" ht="12.45" customHeight="1" x14ac:dyDescent="0.35">
      <c r="B84" s="103">
        <v>9010060006</v>
      </c>
      <c r="C84" s="82"/>
      <c r="D84" s="82"/>
      <c r="E84" s="52" t="s">
        <v>119</v>
      </c>
      <c r="F84" s="52" t="s">
        <v>319</v>
      </c>
      <c r="G84" s="52"/>
      <c r="H84" s="52"/>
      <c r="I84" s="52"/>
      <c r="J84" s="118"/>
      <c r="K84" s="141">
        <f>($R$3*L84)*(100%+N84)</f>
        <v>0</v>
      </c>
      <c r="L84" s="132">
        <f>(M84*(100%+O84))</f>
        <v>7.83</v>
      </c>
      <c r="M84" s="320">
        <v>7.83</v>
      </c>
      <c r="N84" s="126">
        <v>1</v>
      </c>
      <c r="O84" s="136">
        <v>0</v>
      </c>
      <c r="P84" s="95"/>
    </row>
    <row r="85" spans="2:16" s="117" customFormat="1" ht="12.45" customHeight="1" x14ac:dyDescent="0.35">
      <c r="B85" s="103">
        <v>9050060002</v>
      </c>
      <c r="C85" s="82"/>
      <c r="D85" s="82"/>
      <c r="E85" s="52" t="s">
        <v>119</v>
      </c>
      <c r="F85" s="52" t="s">
        <v>320</v>
      </c>
      <c r="G85" s="52"/>
      <c r="H85" s="52"/>
      <c r="I85" s="52"/>
      <c r="J85" s="118"/>
      <c r="K85" s="134">
        <f>($R$3*L85)*(100%+N85)</f>
        <v>0</v>
      </c>
      <c r="L85" s="132">
        <f>(M85*(100%+O85))</f>
        <v>1.9949999999999999</v>
      </c>
      <c r="M85" s="320">
        <v>1.9</v>
      </c>
      <c r="N85" s="126">
        <v>1</v>
      </c>
      <c r="O85" s="136">
        <v>0.05</v>
      </c>
      <c r="P85" s="95"/>
    </row>
    <row r="86" spans="2:16" s="117" customFormat="1" ht="12.45" customHeight="1" x14ac:dyDescent="0.35">
      <c r="M86" s="265"/>
    </row>
    <row r="87" spans="2:16" x14ac:dyDescent="0.35">
      <c r="B87" s="17" t="s">
        <v>561</v>
      </c>
      <c r="K87" s="20"/>
      <c r="L87" s="19"/>
      <c r="N87" s="19"/>
      <c r="O87" s="19"/>
    </row>
    <row r="88" spans="2:16" ht="9.4499999999999993" customHeight="1" x14ac:dyDescent="0.35">
      <c r="K88" s="45"/>
      <c r="L88" s="45"/>
      <c r="N88" s="45"/>
      <c r="O88" s="45"/>
      <c r="P88" s="45"/>
    </row>
    <row r="89" spans="2:16" s="45" customFormat="1" ht="12.45" customHeight="1" x14ac:dyDescent="0.35">
      <c r="B89" s="26" t="s">
        <v>27</v>
      </c>
      <c r="C89" s="28"/>
      <c r="D89" s="39"/>
      <c r="E89" s="27" t="s">
        <v>137</v>
      </c>
      <c r="F89" s="23" t="s">
        <v>194</v>
      </c>
      <c r="G89" s="70"/>
      <c r="H89" s="70" t="s">
        <v>110</v>
      </c>
      <c r="I89" s="70"/>
      <c r="J89" s="70"/>
      <c r="K89" s="131" t="s">
        <v>85</v>
      </c>
      <c r="L89" s="132"/>
      <c r="M89" s="139" t="s">
        <v>90</v>
      </c>
      <c r="N89" s="108" t="s">
        <v>39</v>
      </c>
      <c r="O89" s="133" t="s">
        <v>40</v>
      </c>
    </row>
    <row r="90" spans="2:16" s="117" customFormat="1" ht="12.45" customHeight="1" x14ac:dyDescent="0.35">
      <c r="B90" s="103">
        <v>9010060007</v>
      </c>
      <c r="C90" s="82"/>
      <c r="D90" s="82"/>
      <c r="E90" s="52" t="s">
        <v>556</v>
      </c>
      <c r="F90" s="176" t="s">
        <v>546</v>
      </c>
      <c r="G90" s="52"/>
      <c r="H90" s="52" t="s">
        <v>558</v>
      </c>
      <c r="I90" s="52"/>
      <c r="J90" s="118"/>
      <c r="K90" s="141">
        <f>($R$3*L90)*(100%+N90)</f>
        <v>0</v>
      </c>
      <c r="L90" s="132">
        <f>(M90*(100%+O90))</f>
        <v>23.265600000000003</v>
      </c>
      <c r="M90" s="320">
        <v>20.96</v>
      </c>
      <c r="N90" s="126">
        <v>0.6</v>
      </c>
      <c r="O90" s="136">
        <v>0.11</v>
      </c>
      <c r="P90" s="95"/>
    </row>
    <row r="91" spans="2:16" s="117" customFormat="1" ht="12.45" customHeight="1" x14ac:dyDescent="0.35">
      <c r="B91" s="103">
        <v>9050060005</v>
      </c>
      <c r="C91" s="82"/>
      <c r="D91" s="82"/>
      <c r="E91" s="52" t="s">
        <v>550</v>
      </c>
      <c r="F91" s="176" t="s">
        <v>557</v>
      </c>
      <c r="G91" s="52"/>
      <c r="H91" s="52" t="s">
        <v>559</v>
      </c>
      <c r="I91" s="52"/>
      <c r="J91" s="118"/>
      <c r="K91" s="134">
        <f>($R$3*L91)*(100%+N91)</f>
        <v>0</v>
      </c>
      <c r="L91" s="132">
        <f>(M91*(100%+O91))</f>
        <v>4.38</v>
      </c>
      <c r="M91" s="320">
        <v>4.38</v>
      </c>
      <c r="N91" s="126">
        <v>0.55200000000000005</v>
      </c>
      <c r="O91" s="136">
        <v>0</v>
      </c>
      <c r="P91" s="95"/>
    </row>
    <row r="92" spans="2:16" s="117" customFormat="1" ht="12.45" customHeight="1" x14ac:dyDescent="0.35">
      <c r="B92" s="103"/>
      <c r="C92" s="82"/>
      <c r="D92" s="82"/>
      <c r="E92" s="52"/>
      <c r="F92" s="176"/>
      <c r="G92" s="52"/>
      <c r="H92" s="52"/>
      <c r="I92" s="52"/>
      <c r="J92" s="52"/>
      <c r="K92" s="131"/>
      <c r="L92" s="132"/>
      <c r="M92" s="275"/>
      <c r="N92" s="126"/>
      <c r="O92" s="136"/>
      <c r="P92" s="95"/>
    </row>
    <row r="93" spans="2:16" x14ac:dyDescent="0.35">
      <c r="B93" s="17" t="s">
        <v>707</v>
      </c>
      <c r="K93" s="20" t="s">
        <v>128</v>
      </c>
      <c r="L93" s="19"/>
      <c r="N93" s="19"/>
      <c r="O93" s="19"/>
    </row>
    <row r="94" spans="2:16" ht="10.199999999999999" customHeight="1" x14ac:dyDescent="0.35">
      <c r="K94" s="45"/>
      <c r="L94" s="45"/>
      <c r="N94" s="45"/>
      <c r="O94" s="45"/>
      <c r="P94" s="45"/>
    </row>
    <row r="95" spans="2:16" s="45" customFormat="1" ht="12.45" customHeight="1" x14ac:dyDescent="0.35">
      <c r="B95" s="26" t="s">
        <v>27</v>
      </c>
      <c r="C95" s="28"/>
      <c r="D95" s="39"/>
      <c r="E95" s="27" t="s">
        <v>137</v>
      </c>
      <c r="F95" s="23"/>
      <c r="G95" s="70"/>
      <c r="H95" s="70"/>
      <c r="I95" s="70"/>
      <c r="J95" s="70"/>
      <c r="K95" s="131" t="s">
        <v>85</v>
      </c>
      <c r="L95" s="132"/>
      <c r="M95" s="139" t="s">
        <v>90</v>
      </c>
      <c r="N95" s="108" t="s">
        <v>39</v>
      </c>
      <c r="O95" s="133" t="s">
        <v>40</v>
      </c>
    </row>
    <row r="96" spans="2:16" s="117" customFormat="1" ht="12.45" customHeight="1" x14ac:dyDescent="0.35">
      <c r="B96" s="103">
        <v>2040060077</v>
      </c>
      <c r="C96" s="82"/>
      <c r="D96" s="82"/>
      <c r="E96" s="52" t="s">
        <v>127</v>
      </c>
      <c r="F96" s="52"/>
      <c r="G96" s="52"/>
      <c r="H96" s="52"/>
      <c r="I96" s="52"/>
      <c r="J96" s="118"/>
      <c r="K96" s="134">
        <f>($R$3*L96)*(100%+N96)</f>
        <v>0</v>
      </c>
      <c r="L96" s="132">
        <f>(M96*(100%+O96))</f>
        <v>11.654999999999999</v>
      </c>
      <c r="M96" s="320">
        <v>11.1</v>
      </c>
      <c r="N96" s="126">
        <v>0.65</v>
      </c>
      <c r="O96" s="136">
        <v>0.05</v>
      </c>
      <c r="P96" s="95"/>
    </row>
    <row r="97" spans="2:16" s="117" customFormat="1" ht="12.45" customHeight="1" x14ac:dyDescent="0.35">
      <c r="B97" s="103">
        <v>2040060078</v>
      </c>
      <c r="C97" s="82"/>
      <c r="D97" s="82"/>
      <c r="E97" s="52" t="s">
        <v>129</v>
      </c>
      <c r="F97" s="52"/>
      <c r="G97" s="52"/>
      <c r="H97" s="52"/>
      <c r="I97" s="52"/>
      <c r="J97" s="118"/>
      <c r="K97" s="134">
        <f>($R$3*L97)*(100%+N97)</f>
        <v>0</v>
      </c>
      <c r="L97" s="132">
        <f>(M97*(100%+O97))</f>
        <v>11.654999999999999</v>
      </c>
      <c r="M97" s="320">
        <v>11.1</v>
      </c>
      <c r="N97" s="126">
        <v>0.65</v>
      </c>
      <c r="O97" s="136">
        <v>0.05</v>
      </c>
      <c r="P97" s="95"/>
    </row>
    <row r="98" spans="2:16" s="117" customFormat="1" ht="12.45" customHeight="1" x14ac:dyDescent="0.35">
      <c r="B98" s="103">
        <v>2040060079</v>
      </c>
      <c r="C98" s="82"/>
      <c r="D98" s="82"/>
      <c r="E98" s="52" t="s">
        <v>130</v>
      </c>
      <c r="F98" s="52"/>
      <c r="G98" s="52"/>
      <c r="H98" s="52"/>
      <c r="I98" s="52"/>
      <c r="J98" s="118"/>
      <c r="K98" s="134">
        <f>($R$3*L98)*(100%+N98)</f>
        <v>0</v>
      </c>
      <c r="L98" s="132">
        <f>(M98*(100%+O98))</f>
        <v>11.654999999999999</v>
      </c>
      <c r="M98" s="320">
        <v>11.1</v>
      </c>
      <c r="N98" s="126">
        <v>0.65</v>
      </c>
      <c r="O98" s="136">
        <v>0.05</v>
      </c>
      <c r="P98" s="95"/>
    </row>
    <row r="99" spans="2:16" s="117" customFormat="1" ht="6.45" customHeight="1" x14ac:dyDescent="0.35">
      <c r="B99" s="103"/>
      <c r="C99" s="82"/>
      <c r="D99" s="82"/>
      <c r="E99" s="52"/>
      <c r="F99" s="52"/>
      <c r="G99" s="52"/>
      <c r="H99" s="52"/>
      <c r="I99" s="52"/>
      <c r="J99" s="52"/>
      <c r="K99" s="131"/>
      <c r="L99" s="132"/>
      <c r="M99" s="275"/>
      <c r="N99" s="126"/>
      <c r="O99" s="136"/>
      <c r="P99" s="95"/>
    </row>
    <row r="100" spans="2:16" s="117" customFormat="1" ht="6.45" customHeight="1" x14ac:dyDescent="0.35">
      <c r="B100" s="103"/>
      <c r="C100" s="82"/>
      <c r="D100" s="82"/>
      <c r="E100" s="52"/>
      <c r="F100" s="52"/>
      <c r="G100" s="52"/>
      <c r="H100" s="52"/>
      <c r="I100" s="52"/>
      <c r="J100" s="52"/>
      <c r="K100" s="106"/>
      <c r="M100" s="226"/>
      <c r="N100" s="94"/>
      <c r="O100" s="45"/>
      <c r="P100" s="95"/>
    </row>
    <row r="101" spans="2:16" x14ac:dyDescent="0.35">
      <c r="B101" s="17" t="s">
        <v>549</v>
      </c>
      <c r="K101" s="20"/>
      <c r="L101" s="19"/>
      <c r="N101" s="19"/>
      <c r="O101" s="19"/>
    </row>
    <row r="102" spans="2:16" x14ac:dyDescent="0.35">
      <c r="K102" s="45"/>
      <c r="L102" s="45"/>
      <c r="N102" s="45"/>
      <c r="O102" s="45"/>
      <c r="P102" s="45"/>
    </row>
    <row r="103" spans="2:16" s="45" customFormat="1" ht="12.45" customHeight="1" x14ac:dyDescent="0.35">
      <c r="B103" s="26" t="s">
        <v>27</v>
      </c>
      <c r="C103" s="28"/>
      <c r="D103" s="39"/>
      <c r="E103" s="27" t="s">
        <v>137</v>
      </c>
      <c r="F103" s="23" t="s">
        <v>165</v>
      </c>
      <c r="G103" s="70"/>
      <c r="H103" s="70"/>
      <c r="I103" s="70"/>
      <c r="J103" s="70"/>
      <c r="K103" s="131" t="s">
        <v>77</v>
      </c>
      <c r="L103" s="132"/>
      <c r="M103" s="139" t="s">
        <v>90</v>
      </c>
      <c r="N103" s="108" t="s">
        <v>39</v>
      </c>
      <c r="O103" s="133" t="s">
        <v>40</v>
      </c>
    </row>
    <row r="104" spans="2:16" s="117" customFormat="1" ht="12.45" customHeight="1" x14ac:dyDescent="0.35">
      <c r="B104" s="103">
        <v>2040090080</v>
      </c>
      <c r="C104" s="82"/>
      <c r="D104" s="82"/>
      <c r="E104" s="52" t="s">
        <v>127</v>
      </c>
      <c r="F104" s="176" t="s">
        <v>548</v>
      </c>
      <c r="G104" s="52"/>
      <c r="H104" s="52"/>
      <c r="I104" s="52"/>
      <c r="J104" s="118"/>
      <c r="K104" s="134">
        <f>($R$3*L104)*(100%+N104)</f>
        <v>0</v>
      </c>
      <c r="L104" s="132">
        <f>(M104*(100%+O104))</f>
        <v>4.0425000000000004</v>
      </c>
      <c r="M104" s="320">
        <v>3.85</v>
      </c>
      <c r="N104" s="126">
        <v>0.85</v>
      </c>
      <c r="O104" s="136">
        <v>0.05</v>
      </c>
      <c r="P104" s="95"/>
    </row>
    <row r="105" spans="2:16" s="117" customFormat="1" ht="12.45" customHeight="1" x14ac:dyDescent="0.35">
      <c r="B105" s="103">
        <v>2040060081</v>
      </c>
      <c r="C105" s="82"/>
      <c r="D105" s="82"/>
      <c r="E105" s="52" t="s">
        <v>129</v>
      </c>
      <c r="F105" s="176" t="s">
        <v>548</v>
      </c>
      <c r="G105" s="52"/>
      <c r="H105" s="52"/>
      <c r="I105" s="52"/>
      <c r="J105" s="118"/>
      <c r="K105" s="134">
        <f>($R$3*L105)*(100%+N105)</f>
        <v>0</v>
      </c>
      <c r="L105" s="132">
        <f>(M105*(100%+O105))</f>
        <v>4.0425000000000004</v>
      </c>
      <c r="M105" s="320">
        <v>3.85</v>
      </c>
      <c r="N105" s="126">
        <v>0.85</v>
      </c>
      <c r="O105" s="136">
        <v>0.05</v>
      </c>
      <c r="P105" s="95"/>
    </row>
    <row r="106" spans="2:16" s="117" customFormat="1" ht="12.45" customHeight="1" x14ac:dyDescent="0.35">
      <c r="B106" s="103">
        <v>2040060082</v>
      </c>
      <c r="C106" s="82"/>
      <c r="D106" s="82"/>
      <c r="E106" s="52" t="s">
        <v>130</v>
      </c>
      <c r="F106" s="176" t="s">
        <v>548</v>
      </c>
      <c r="G106" s="52"/>
      <c r="H106" s="52"/>
      <c r="I106" s="52"/>
      <c r="J106" s="118"/>
      <c r="K106" s="134">
        <f>($R$3*L106)*(100%+N106)</f>
        <v>0</v>
      </c>
      <c r="L106" s="132">
        <f>(M106*(100%+O106))</f>
        <v>4.0425000000000004</v>
      </c>
      <c r="M106" s="320">
        <v>3.85</v>
      </c>
      <c r="N106" s="126">
        <v>0.85</v>
      </c>
      <c r="O106" s="136">
        <v>0.05</v>
      </c>
      <c r="P106" s="95"/>
    </row>
    <row r="107" spans="2:16" s="117" customFormat="1" ht="12.45" customHeight="1" x14ac:dyDescent="0.35">
      <c r="B107" s="103">
        <v>2040060083</v>
      </c>
      <c r="C107" s="82"/>
      <c r="D107" s="82"/>
      <c r="E107" s="52"/>
      <c r="F107" s="176" t="s">
        <v>547</v>
      </c>
      <c r="G107" s="52" t="s">
        <v>560</v>
      </c>
      <c r="H107" s="52"/>
      <c r="I107" s="52"/>
      <c r="J107" s="118"/>
      <c r="K107" s="134">
        <f>($R$3*L107)*(100%+N107)</f>
        <v>0</v>
      </c>
      <c r="L107" s="132">
        <f>(M107*(100%+O107))</f>
        <v>1.1499999999999999</v>
      </c>
      <c r="M107" s="275">
        <v>1.1499999999999999</v>
      </c>
      <c r="N107" s="126">
        <v>1.258</v>
      </c>
      <c r="O107" s="136">
        <v>0</v>
      </c>
      <c r="P107" s="95"/>
    </row>
    <row r="108" spans="2:16" s="117" customFormat="1" ht="7.5" customHeight="1" x14ac:dyDescent="0.35">
      <c r="B108" s="82"/>
      <c r="C108" s="82"/>
      <c r="D108" s="82"/>
      <c r="E108" s="52"/>
      <c r="F108" s="52"/>
      <c r="G108" s="52"/>
      <c r="H108" s="52"/>
      <c r="I108" s="52"/>
      <c r="J108" s="52"/>
      <c r="K108" s="106"/>
      <c r="M108" s="275"/>
      <c r="N108" s="94"/>
      <c r="O108" s="45"/>
      <c r="P108" s="95"/>
    </row>
    <row r="109" spans="2:16" x14ac:dyDescent="0.35">
      <c r="B109" s="17" t="s">
        <v>708</v>
      </c>
      <c r="K109" s="19"/>
      <c r="L109" s="19"/>
      <c r="N109" s="19"/>
      <c r="O109" s="19"/>
    </row>
    <row r="110" spans="2:16" x14ac:dyDescent="0.35">
      <c r="K110" s="45"/>
      <c r="L110" s="45"/>
      <c r="N110" s="45"/>
      <c r="O110" s="45"/>
      <c r="P110" s="45"/>
    </row>
    <row r="111" spans="2:16" s="45" customFormat="1" ht="12.45" customHeight="1" x14ac:dyDescent="0.35">
      <c r="B111" s="26" t="s">
        <v>27</v>
      </c>
      <c r="C111" s="28"/>
      <c r="D111" s="39" t="s">
        <v>86</v>
      </c>
      <c r="E111" s="28"/>
      <c r="F111" s="39" t="s">
        <v>318</v>
      </c>
      <c r="G111" s="70"/>
      <c r="H111" s="70"/>
      <c r="I111" s="70"/>
      <c r="J111" s="70"/>
      <c r="K111" s="131" t="s">
        <v>77</v>
      </c>
      <c r="L111" s="132"/>
      <c r="M111" s="139" t="s">
        <v>90</v>
      </c>
      <c r="N111" s="108" t="s">
        <v>39</v>
      </c>
      <c r="O111" s="133" t="s">
        <v>40</v>
      </c>
    </row>
    <row r="112" spans="2:16" s="117" customFormat="1" ht="12.45" customHeight="1" x14ac:dyDescent="0.35">
      <c r="B112" s="103">
        <v>9050060003</v>
      </c>
      <c r="C112" s="82"/>
      <c r="D112" s="82" t="s">
        <v>122</v>
      </c>
      <c r="E112" s="52" t="s">
        <v>119</v>
      </c>
      <c r="F112" s="52" t="s">
        <v>320</v>
      </c>
      <c r="G112" s="52"/>
      <c r="H112" s="52"/>
      <c r="I112" s="52"/>
      <c r="J112" s="118"/>
      <c r="K112" s="134">
        <f>($R$3*L112)*(100%+N112)</f>
        <v>0</v>
      </c>
      <c r="L112" s="132">
        <f>(M112*(100%+O112))</f>
        <v>2.121</v>
      </c>
      <c r="M112" s="320">
        <v>2.02</v>
      </c>
      <c r="N112" s="126">
        <v>0.65</v>
      </c>
      <c r="O112" s="136">
        <v>0.05</v>
      </c>
      <c r="P112" s="95"/>
    </row>
    <row r="113" spans="2:16" s="117" customFormat="1" ht="12.45" customHeight="1" x14ac:dyDescent="0.35">
      <c r="B113" s="103"/>
      <c r="C113" s="82"/>
      <c r="D113" s="82"/>
      <c r="E113" s="52"/>
      <c r="F113" s="52"/>
      <c r="G113" s="52"/>
      <c r="H113" s="52"/>
      <c r="I113" s="52"/>
      <c r="J113" s="52"/>
      <c r="K113" s="106"/>
      <c r="M113" s="226"/>
      <c r="N113" s="94"/>
      <c r="O113" s="45"/>
      <c r="P113" s="95"/>
    </row>
    <row r="114" spans="2:16" s="117" customFormat="1" ht="12.45" customHeight="1" x14ac:dyDescent="0.35">
      <c r="B114" s="103"/>
      <c r="C114" s="82"/>
      <c r="D114" s="82"/>
      <c r="E114" s="52"/>
      <c r="F114" s="52"/>
      <c r="G114" s="52"/>
      <c r="H114" s="52"/>
      <c r="I114" s="52"/>
      <c r="J114" s="52"/>
      <c r="K114" s="106"/>
      <c r="M114" s="226"/>
      <c r="N114" s="94"/>
      <c r="O114" s="45"/>
      <c r="P114" s="95"/>
    </row>
    <row r="115" spans="2:16" x14ac:dyDescent="0.35">
      <c r="B115" s="17" t="s">
        <v>709</v>
      </c>
      <c r="K115" s="20"/>
      <c r="L115" s="19"/>
      <c r="N115" s="19"/>
      <c r="O115" s="19"/>
    </row>
    <row r="116" spans="2:16" x14ac:dyDescent="0.35">
      <c r="K116" s="45"/>
      <c r="L116" s="45"/>
      <c r="N116" s="45"/>
      <c r="O116" s="45"/>
      <c r="P116" s="45"/>
    </row>
    <row r="117" spans="2:16" s="45" customFormat="1" ht="12.45" customHeight="1" x14ac:dyDescent="0.35">
      <c r="B117" s="26" t="s">
        <v>27</v>
      </c>
      <c r="C117" s="28"/>
      <c r="D117" s="39" t="s">
        <v>194</v>
      </c>
      <c r="E117" s="27"/>
      <c r="F117" s="39" t="s">
        <v>304</v>
      </c>
      <c r="G117" s="70"/>
      <c r="H117" s="70"/>
      <c r="I117" s="70"/>
      <c r="J117" s="70"/>
      <c r="K117" s="78" t="s">
        <v>303</v>
      </c>
      <c r="L117" s="132"/>
      <c r="M117" s="139" t="s">
        <v>90</v>
      </c>
      <c r="N117" s="108" t="s">
        <v>39</v>
      </c>
      <c r="O117" s="133" t="s">
        <v>40</v>
      </c>
    </row>
    <row r="118" spans="2:16" s="117" customFormat="1" ht="12.45" customHeight="1" x14ac:dyDescent="0.35">
      <c r="B118" s="103">
        <v>5020250001</v>
      </c>
      <c r="C118" s="82"/>
      <c r="D118" s="82" t="s">
        <v>301</v>
      </c>
      <c r="E118" s="52"/>
      <c r="F118" s="52" t="s">
        <v>305</v>
      </c>
      <c r="G118" s="52"/>
      <c r="H118" s="52"/>
      <c r="I118" s="52"/>
      <c r="J118" s="118"/>
      <c r="K118" s="134">
        <f>($R$3*L118)*(100%+N118)</f>
        <v>0</v>
      </c>
      <c r="L118" s="132">
        <f>(M118*(100%+O118))</f>
        <v>4.42</v>
      </c>
      <c r="M118" s="275">
        <v>3.4</v>
      </c>
      <c r="N118" s="126">
        <v>1</v>
      </c>
      <c r="O118" s="136">
        <v>0.3</v>
      </c>
      <c r="P118" s="95"/>
    </row>
    <row r="119" spans="2:16" s="117" customFormat="1" ht="12.45" customHeight="1" x14ac:dyDescent="0.35">
      <c r="B119" s="103">
        <v>5020250002</v>
      </c>
      <c r="C119" s="82"/>
      <c r="D119" s="82" t="s">
        <v>302</v>
      </c>
      <c r="E119" s="52"/>
      <c r="F119" s="52" t="s">
        <v>305</v>
      </c>
      <c r="G119" s="52"/>
      <c r="H119" s="52"/>
      <c r="I119" s="52"/>
      <c r="J119" s="118"/>
      <c r="K119" s="134">
        <f>($R$3*L119)*(100%+N119)</f>
        <v>0</v>
      </c>
      <c r="L119" s="132">
        <f>(M119*(100%+O119))</f>
        <v>5.5250000000000004</v>
      </c>
      <c r="M119" s="275">
        <v>4.25</v>
      </c>
      <c r="N119" s="126">
        <v>1</v>
      </c>
      <c r="O119" s="136">
        <v>0.3</v>
      </c>
      <c r="P119" s="95"/>
    </row>
    <row r="120" spans="2:16" s="117" customFormat="1" ht="17.25" customHeight="1" x14ac:dyDescent="0.35">
      <c r="B120" s="103"/>
      <c r="C120" s="82"/>
      <c r="D120" s="82"/>
      <c r="E120" s="52"/>
      <c r="F120" s="52"/>
      <c r="G120" s="52"/>
      <c r="H120" s="52"/>
      <c r="I120" s="52"/>
      <c r="J120" s="52"/>
      <c r="K120" s="106"/>
      <c r="M120" s="275"/>
      <c r="N120" s="94"/>
      <c r="O120" s="45"/>
      <c r="P120" s="95"/>
    </row>
    <row r="121" spans="2:16" x14ac:dyDescent="0.35">
      <c r="B121" s="17" t="s">
        <v>710</v>
      </c>
      <c r="K121" s="20"/>
      <c r="L121" s="19"/>
      <c r="N121" s="19"/>
      <c r="O121" s="19"/>
    </row>
    <row r="122" spans="2:16" x14ac:dyDescent="0.35">
      <c r="K122" s="45"/>
      <c r="L122" s="45"/>
      <c r="N122" s="45"/>
      <c r="O122" s="45"/>
      <c r="P122" s="45"/>
    </row>
    <row r="123" spans="2:16" s="45" customFormat="1" ht="12.45" customHeight="1" x14ac:dyDescent="0.35">
      <c r="B123" s="26" t="s">
        <v>27</v>
      </c>
      <c r="C123" s="28"/>
      <c r="D123" s="39" t="s">
        <v>194</v>
      </c>
      <c r="E123" s="27"/>
      <c r="F123" s="39" t="s">
        <v>304</v>
      </c>
      <c r="G123" s="70"/>
      <c r="H123" s="70"/>
      <c r="I123" s="70"/>
      <c r="J123" s="70"/>
      <c r="K123" s="78" t="s">
        <v>303</v>
      </c>
      <c r="L123" s="132"/>
      <c r="M123" s="139" t="s">
        <v>90</v>
      </c>
      <c r="N123" s="108" t="s">
        <v>39</v>
      </c>
      <c r="O123" s="133" t="s">
        <v>40</v>
      </c>
    </row>
    <row r="124" spans="2:16" s="117" customFormat="1" ht="12.45" customHeight="1" x14ac:dyDescent="0.35">
      <c r="B124" s="103">
        <v>5020250003</v>
      </c>
      <c r="C124" s="82"/>
      <c r="D124" s="82" t="s">
        <v>301</v>
      </c>
      <c r="E124" s="52"/>
      <c r="F124" s="52" t="s">
        <v>305</v>
      </c>
      <c r="G124" s="52"/>
      <c r="H124" s="52"/>
      <c r="I124" s="52"/>
      <c r="J124" s="118"/>
      <c r="K124" s="134">
        <f>($R$3*L124)*(100%+N124)</f>
        <v>0</v>
      </c>
      <c r="L124" s="132">
        <f>(M124*(100%+O124))</f>
        <v>12.35</v>
      </c>
      <c r="M124" s="275">
        <v>9.5</v>
      </c>
      <c r="N124" s="126">
        <v>0.73</v>
      </c>
      <c r="O124" s="136">
        <v>0.3</v>
      </c>
      <c r="P124" s="95"/>
    </row>
    <row r="125" spans="2:16" s="117" customFormat="1" ht="12.45" customHeight="1" x14ac:dyDescent="0.35">
      <c r="B125" s="103">
        <v>5020250004</v>
      </c>
      <c r="C125" s="82"/>
      <c r="D125" s="82" t="s">
        <v>302</v>
      </c>
      <c r="E125" s="52"/>
      <c r="F125" s="52" t="s">
        <v>305</v>
      </c>
      <c r="G125" s="52"/>
      <c r="H125" s="52"/>
      <c r="I125" s="52"/>
      <c r="J125" s="118"/>
      <c r="K125" s="134">
        <f>($R$3*L125)*(100%+N125)</f>
        <v>0</v>
      </c>
      <c r="L125" s="132">
        <f>(M125*(100%+O125))</f>
        <v>13.65</v>
      </c>
      <c r="M125" s="275">
        <v>10.5</v>
      </c>
      <c r="N125" s="126">
        <v>0.72699999999999998</v>
      </c>
      <c r="O125" s="136">
        <v>0.3</v>
      </c>
      <c r="P125" s="95"/>
    </row>
    <row r="126" spans="2:16" s="117" customFormat="1" ht="12.45" customHeight="1" x14ac:dyDescent="0.35">
      <c r="B126" s="82"/>
      <c r="C126" s="82"/>
      <c r="D126" s="82"/>
      <c r="E126" s="52"/>
      <c r="F126" s="52"/>
      <c r="G126" s="52"/>
      <c r="H126" s="52"/>
      <c r="I126" s="52"/>
      <c r="J126" s="52"/>
      <c r="K126" s="106"/>
      <c r="M126" s="275"/>
      <c r="N126" s="94"/>
      <c r="O126" s="45"/>
      <c r="P126" s="95"/>
    </row>
    <row r="127" spans="2:16" x14ac:dyDescent="0.35">
      <c r="B127" s="17" t="s">
        <v>329</v>
      </c>
      <c r="K127" s="20"/>
      <c r="L127" s="19"/>
      <c r="N127" s="19"/>
      <c r="O127" s="19"/>
    </row>
    <row r="128" spans="2:16" x14ac:dyDescent="0.35">
      <c r="K128" s="45"/>
      <c r="L128" s="45"/>
      <c r="N128" s="45"/>
      <c r="O128" s="45"/>
      <c r="P128" s="45"/>
    </row>
    <row r="129" spans="2:16" s="45" customFormat="1" ht="12.45" customHeight="1" x14ac:dyDescent="0.35">
      <c r="B129" s="26" t="s">
        <v>27</v>
      </c>
      <c r="C129" s="28"/>
      <c r="D129" s="39"/>
      <c r="E129" s="27"/>
      <c r="F129" s="39" t="s">
        <v>304</v>
      </c>
      <c r="G129" s="70"/>
      <c r="H129" s="70"/>
      <c r="I129" s="70"/>
      <c r="J129" s="70"/>
      <c r="K129" s="78" t="s">
        <v>303</v>
      </c>
      <c r="L129" s="132"/>
      <c r="M129" s="139" t="s">
        <v>90</v>
      </c>
      <c r="N129" s="108" t="s">
        <v>39</v>
      </c>
      <c r="O129" s="133" t="s">
        <v>40</v>
      </c>
    </row>
    <row r="130" spans="2:16" s="117" customFormat="1" ht="12.45" customHeight="1" x14ac:dyDescent="0.35">
      <c r="B130" s="103">
        <v>5020250006</v>
      </c>
      <c r="C130" s="82"/>
      <c r="D130" s="82"/>
      <c r="E130" s="52"/>
      <c r="F130" s="52" t="s">
        <v>305</v>
      </c>
      <c r="G130" s="52"/>
      <c r="H130" s="52"/>
      <c r="I130" s="52"/>
      <c r="J130" s="118"/>
      <c r="K130" s="134">
        <f>($R$3*L130)*(100%+N130)</f>
        <v>0</v>
      </c>
      <c r="L130" s="132">
        <f>(M130*(100%+O130))</f>
        <v>8.4500000000000011</v>
      </c>
      <c r="M130" s="275">
        <v>6.5</v>
      </c>
      <c r="N130" s="126">
        <v>0.44</v>
      </c>
      <c r="O130" s="136">
        <v>0.3</v>
      </c>
      <c r="P130" s="95"/>
    </row>
    <row r="131" spans="2:16" s="117" customFormat="1" ht="7.5" customHeight="1" x14ac:dyDescent="0.35">
      <c r="B131" s="103"/>
      <c r="C131" s="82"/>
      <c r="D131" s="82"/>
      <c r="E131" s="52"/>
      <c r="F131" s="52"/>
      <c r="G131" s="52"/>
      <c r="H131" s="52"/>
      <c r="I131" s="52"/>
      <c r="J131" s="52"/>
      <c r="K131" s="106"/>
      <c r="M131" s="275"/>
      <c r="N131" s="94"/>
      <c r="O131" s="45"/>
      <c r="P131" s="95"/>
    </row>
    <row r="132" spans="2:16" s="117" customFormat="1" ht="7.5" customHeight="1" x14ac:dyDescent="0.35">
      <c r="B132" s="103"/>
      <c r="C132" s="82"/>
      <c r="D132" s="82"/>
      <c r="E132" s="52"/>
      <c r="F132" s="52"/>
      <c r="G132" s="52"/>
      <c r="H132" s="52"/>
      <c r="I132" s="52"/>
      <c r="J132" s="52"/>
      <c r="K132" s="106"/>
      <c r="M132" s="275"/>
      <c r="N132" s="94"/>
      <c r="O132" s="45"/>
      <c r="P132" s="95"/>
    </row>
    <row r="133" spans="2:16" x14ac:dyDescent="0.35">
      <c r="B133" s="17" t="s">
        <v>711</v>
      </c>
      <c r="K133" s="20"/>
      <c r="L133" s="19"/>
      <c r="N133" s="19"/>
      <c r="O133" s="19"/>
    </row>
    <row r="134" spans="2:16" x14ac:dyDescent="0.35">
      <c r="K134" s="45"/>
      <c r="L134" s="45"/>
      <c r="N134" s="45"/>
      <c r="O134" s="45"/>
      <c r="P134" s="45"/>
    </row>
    <row r="135" spans="2:16" s="45" customFormat="1" ht="12.45" customHeight="1" x14ac:dyDescent="0.35">
      <c r="B135" s="26" t="s">
        <v>27</v>
      </c>
      <c r="C135" s="28"/>
      <c r="D135" s="39"/>
      <c r="E135" s="27"/>
      <c r="F135" s="39" t="s">
        <v>304</v>
      </c>
      <c r="G135" s="70"/>
      <c r="H135" s="70"/>
      <c r="I135" s="70"/>
      <c r="J135" s="70"/>
      <c r="K135" s="78" t="s">
        <v>303</v>
      </c>
      <c r="L135" s="132"/>
      <c r="M135" s="139" t="s">
        <v>90</v>
      </c>
      <c r="N135" s="108" t="s">
        <v>39</v>
      </c>
      <c r="O135" s="133" t="s">
        <v>40</v>
      </c>
    </row>
    <row r="136" spans="2:16" s="117" customFormat="1" ht="12.45" customHeight="1" x14ac:dyDescent="0.35">
      <c r="B136" s="103">
        <v>5020250007</v>
      </c>
      <c r="C136" s="82"/>
      <c r="D136" s="82"/>
      <c r="E136" s="52"/>
      <c r="F136" s="52" t="s">
        <v>330</v>
      </c>
      <c r="G136" s="52"/>
      <c r="H136" s="52"/>
      <c r="I136" s="52"/>
      <c r="J136" s="118"/>
      <c r="K136" s="134">
        <f>($R$3*L136)*(100%+N136)</f>
        <v>0</v>
      </c>
      <c r="L136" s="132">
        <f>(M136*(100%+O136))</f>
        <v>26.52</v>
      </c>
      <c r="M136" s="275">
        <v>20.399999999999999</v>
      </c>
      <c r="N136" s="126">
        <v>0.44</v>
      </c>
      <c r="O136" s="136">
        <v>0.3</v>
      </c>
      <c r="P136" s="95"/>
    </row>
    <row r="137" spans="2:16" s="117" customFormat="1" ht="7.5" customHeight="1" x14ac:dyDescent="0.35">
      <c r="B137" s="103"/>
      <c r="C137" s="82"/>
      <c r="D137" s="82"/>
      <c r="E137" s="52"/>
      <c r="F137" s="52"/>
      <c r="G137" s="52"/>
      <c r="H137" s="52"/>
      <c r="I137" s="52"/>
      <c r="J137" s="52"/>
      <c r="K137" s="106"/>
      <c r="M137" s="275"/>
      <c r="N137" s="94"/>
      <c r="O137" s="45"/>
      <c r="P137" s="95"/>
    </row>
    <row r="138" spans="2:16" s="117" customFormat="1" ht="7.5" customHeight="1" x14ac:dyDescent="0.35">
      <c r="B138" s="103"/>
      <c r="C138" s="82"/>
      <c r="D138" s="82"/>
      <c r="E138" s="52"/>
      <c r="F138" s="52"/>
      <c r="G138" s="52"/>
      <c r="H138" s="52"/>
      <c r="I138" s="52"/>
      <c r="J138" s="52"/>
      <c r="K138" s="106"/>
      <c r="M138" s="275"/>
      <c r="N138" s="94"/>
      <c r="O138" s="45"/>
      <c r="P138" s="95"/>
    </row>
    <row r="139" spans="2:16" x14ac:dyDescent="0.35">
      <c r="B139" s="17" t="s">
        <v>270</v>
      </c>
      <c r="K139" s="20" t="s">
        <v>8</v>
      </c>
      <c r="L139" s="19"/>
      <c r="N139" s="19"/>
      <c r="O139" s="19"/>
    </row>
    <row r="140" spans="2:16" x14ac:dyDescent="0.35">
      <c r="K140" s="45"/>
      <c r="L140" s="45"/>
      <c r="N140" s="45"/>
      <c r="O140" s="45"/>
      <c r="P140" s="45"/>
    </row>
    <row r="141" spans="2:16" s="45" customFormat="1" ht="12.45" customHeight="1" x14ac:dyDescent="0.35">
      <c r="B141" s="26" t="s">
        <v>27</v>
      </c>
      <c r="C141" s="28"/>
      <c r="D141" s="39" t="s">
        <v>125</v>
      </c>
      <c r="E141" s="27" t="s">
        <v>165</v>
      </c>
      <c r="F141" s="39"/>
      <c r="G141" s="70"/>
      <c r="H141" s="70"/>
      <c r="I141" s="70"/>
      <c r="J141" s="70"/>
      <c r="K141" s="78" t="s">
        <v>85</v>
      </c>
      <c r="L141" s="132"/>
      <c r="M141" s="139" t="s">
        <v>90</v>
      </c>
      <c r="N141" s="108" t="s">
        <v>39</v>
      </c>
      <c r="O141" s="133" t="s">
        <v>40</v>
      </c>
    </row>
    <row r="142" spans="2:16" s="117" customFormat="1" ht="12.45" customHeight="1" x14ac:dyDescent="0.35">
      <c r="B142" s="103">
        <v>9010060001</v>
      </c>
      <c r="C142" s="82"/>
      <c r="D142" s="82" t="s">
        <v>271</v>
      </c>
      <c r="E142" s="52" t="s">
        <v>225</v>
      </c>
      <c r="F142" s="52"/>
      <c r="G142" s="52"/>
      <c r="H142" s="52"/>
      <c r="I142" s="52"/>
      <c r="J142" s="118"/>
      <c r="K142" s="134">
        <f>($R$3*L142)*(100%+N142)</f>
        <v>0</v>
      </c>
      <c r="L142" s="132">
        <f>(M142*(100%+O142))</f>
        <v>7.8470000000000004</v>
      </c>
      <c r="M142" s="275">
        <v>6.65</v>
      </c>
      <c r="N142" s="126">
        <v>0.73</v>
      </c>
      <c r="O142" s="136">
        <v>0.18</v>
      </c>
      <c r="P142" s="95"/>
    </row>
    <row r="143" spans="2:16" s="117" customFormat="1" ht="12.45" customHeight="1" x14ac:dyDescent="0.35">
      <c r="B143" s="103">
        <v>9010060005</v>
      </c>
      <c r="C143" s="82"/>
      <c r="D143" s="82" t="s">
        <v>312</v>
      </c>
      <c r="E143" s="52" t="s">
        <v>225</v>
      </c>
      <c r="F143" s="52"/>
      <c r="G143" s="52"/>
      <c r="H143" s="52"/>
      <c r="I143" s="52"/>
      <c r="J143" s="118"/>
      <c r="K143" s="134">
        <f>($R$3*L143)*(100%+N143)</f>
        <v>0</v>
      </c>
      <c r="L143" s="132">
        <f>(M143*(100%+O143))</f>
        <v>10.455</v>
      </c>
      <c r="M143" s="275">
        <v>8.5</v>
      </c>
      <c r="N143" s="126">
        <v>0.82</v>
      </c>
      <c r="O143" s="136">
        <v>0.23</v>
      </c>
      <c r="P143" s="95"/>
    </row>
    <row r="144" spans="2:16" s="117" customFormat="1" ht="12.45" customHeight="1" x14ac:dyDescent="0.35">
      <c r="B144" s="103">
        <v>9020060001</v>
      </c>
      <c r="C144" s="82"/>
      <c r="D144" s="82" t="s">
        <v>271</v>
      </c>
      <c r="E144" s="52" t="s">
        <v>252</v>
      </c>
      <c r="F144" s="52"/>
      <c r="G144" s="52"/>
      <c r="H144" s="52"/>
      <c r="I144" s="52"/>
      <c r="J144" s="118"/>
      <c r="K144" s="134">
        <f>($R$3*L144)*(100%+N144)</f>
        <v>0</v>
      </c>
      <c r="L144" s="132">
        <f>(M144*(100%+O144))</f>
        <v>4.5360000000000005</v>
      </c>
      <c r="M144" s="275">
        <v>4.2</v>
      </c>
      <c r="N144" s="126">
        <v>0.65400000000000003</v>
      </c>
      <c r="O144" s="136">
        <v>0.08</v>
      </c>
      <c r="P144" s="95"/>
    </row>
    <row r="145" spans="2:16" s="117" customFormat="1" ht="12.45" customHeight="1" x14ac:dyDescent="0.35">
      <c r="B145" s="103">
        <v>9020060002</v>
      </c>
      <c r="C145" s="82"/>
      <c r="D145" s="82" t="s">
        <v>312</v>
      </c>
      <c r="E145" s="52" t="s">
        <v>252</v>
      </c>
      <c r="F145" s="52"/>
      <c r="G145" s="52"/>
      <c r="H145" s="52"/>
      <c r="I145" s="52"/>
      <c r="J145" s="118"/>
      <c r="K145" s="134">
        <f>($R$3*L145)*(100%+N145)</f>
        <v>0</v>
      </c>
      <c r="L145" s="132">
        <f>(M145*(100%+O145))</f>
        <v>4.968</v>
      </c>
      <c r="M145" s="275">
        <v>4.5999999999999996</v>
      </c>
      <c r="N145" s="126">
        <v>0.82499999999999996</v>
      </c>
      <c r="O145" s="136">
        <v>0.08</v>
      </c>
      <c r="P145" s="95"/>
    </row>
    <row r="146" spans="2:16" s="92" customFormat="1" ht="12.45" customHeight="1" x14ac:dyDescent="0.35">
      <c r="B146" s="17"/>
      <c r="C146" s="18"/>
      <c r="D146" s="19"/>
      <c r="E146" s="19"/>
      <c r="F146" s="19"/>
      <c r="G146" s="19"/>
      <c r="H146" s="19"/>
      <c r="I146" s="19"/>
      <c r="J146" s="19"/>
      <c r="K146" s="124"/>
      <c r="L146" s="120"/>
      <c r="M146" s="295"/>
      <c r="N146" s="126"/>
    </row>
    <row r="147" spans="2:16" x14ac:dyDescent="0.35">
      <c r="B147" s="17" t="s">
        <v>712</v>
      </c>
      <c r="K147" s="20" t="s">
        <v>4</v>
      </c>
      <c r="L147" s="19"/>
      <c r="N147" s="19"/>
      <c r="O147" s="19"/>
    </row>
    <row r="148" spans="2:16" x14ac:dyDescent="0.35">
      <c r="K148" s="45"/>
      <c r="L148" s="45"/>
      <c r="N148" s="45"/>
      <c r="O148" s="45"/>
      <c r="P148" s="45"/>
    </row>
    <row r="149" spans="2:16" s="45" customFormat="1" ht="12.45" customHeight="1" x14ac:dyDescent="0.35">
      <c r="B149" s="26" t="s">
        <v>27</v>
      </c>
      <c r="C149" s="28"/>
      <c r="D149" s="42" t="s">
        <v>276</v>
      </c>
      <c r="E149" s="27" t="s">
        <v>165</v>
      </c>
      <c r="F149" s="39" t="s">
        <v>278</v>
      </c>
      <c r="G149" s="70"/>
      <c r="H149" s="70"/>
      <c r="I149" s="70"/>
      <c r="J149" s="70"/>
      <c r="K149" s="78" t="s">
        <v>85</v>
      </c>
      <c r="L149" s="132"/>
      <c r="M149" s="139" t="s">
        <v>90</v>
      </c>
      <c r="N149" s="108" t="s">
        <v>39</v>
      </c>
      <c r="O149" s="133" t="s">
        <v>40</v>
      </c>
    </row>
    <row r="150" spans="2:16" s="117" customFormat="1" ht="12.45" customHeight="1" x14ac:dyDescent="0.35">
      <c r="B150" s="103">
        <v>9070020004</v>
      </c>
      <c r="C150" s="82"/>
      <c r="D150" s="82" t="s">
        <v>281</v>
      </c>
      <c r="E150" s="52" t="s">
        <v>150</v>
      </c>
      <c r="F150" s="52" t="s">
        <v>279</v>
      </c>
      <c r="G150" s="229"/>
      <c r="H150" s="52"/>
      <c r="I150" s="52"/>
      <c r="J150" s="118"/>
      <c r="K150" s="134">
        <f>($R$3*L150)*(100%+N150)</f>
        <v>0</v>
      </c>
      <c r="L150" s="132">
        <f>(M150*(100%+O150))</f>
        <v>2.59</v>
      </c>
      <c r="M150" s="275">
        <v>2.59</v>
      </c>
      <c r="N150" s="126">
        <v>0.45</v>
      </c>
      <c r="O150" s="136">
        <v>0</v>
      </c>
      <c r="P150" s="95"/>
    </row>
    <row r="151" spans="2:16" s="117" customFormat="1" ht="12.45" customHeight="1" x14ac:dyDescent="0.35">
      <c r="B151" s="103">
        <v>9070020005</v>
      </c>
      <c r="C151" s="82"/>
      <c r="D151" s="82" t="s">
        <v>277</v>
      </c>
      <c r="E151" s="52" t="s">
        <v>150</v>
      </c>
      <c r="F151" s="52" t="s">
        <v>280</v>
      </c>
      <c r="G151" s="229"/>
      <c r="H151" s="52"/>
      <c r="I151" s="52"/>
      <c r="J151" s="118"/>
      <c r="K151" s="134">
        <f>($R$3*L151)*(100%+N151)</f>
        <v>0</v>
      </c>
      <c r="L151" s="132">
        <f>(M151*(100%+O151))</f>
        <v>3.85</v>
      </c>
      <c r="M151" s="275">
        <v>3.85</v>
      </c>
      <c r="N151" s="126">
        <v>0.45</v>
      </c>
      <c r="O151" s="136">
        <v>0</v>
      </c>
      <c r="P151" s="95"/>
    </row>
    <row r="152" spans="2:16" s="117" customFormat="1" ht="15" customHeight="1" x14ac:dyDescent="0.35">
      <c r="B152" s="103"/>
      <c r="C152" s="82"/>
      <c r="D152" s="82"/>
      <c r="E152" s="52"/>
      <c r="F152" s="52"/>
      <c r="G152" s="229"/>
      <c r="H152" s="52"/>
      <c r="I152" s="52"/>
      <c r="J152" s="52"/>
      <c r="K152" s="106"/>
      <c r="M152" s="290"/>
      <c r="N152" s="94"/>
      <c r="O152" s="45"/>
      <c r="P152" s="95"/>
    </row>
    <row r="153" spans="2:16" x14ac:dyDescent="0.35">
      <c r="B153" s="17" t="s">
        <v>713</v>
      </c>
      <c r="K153" s="20" t="s">
        <v>283</v>
      </c>
      <c r="L153" s="19"/>
      <c r="N153" s="19"/>
      <c r="O153" s="19"/>
    </row>
    <row r="154" spans="2:16" x14ac:dyDescent="0.35">
      <c r="K154" s="45"/>
      <c r="L154" s="45"/>
      <c r="N154" s="45"/>
      <c r="O154" s="45"/>
      <c r="P154" s="45"/>
    </row>
    <row r="155" spans="2:16" s="45" customFormat="1" ht="12.45" customHeight="1" x14ac:dyDescent="0.35">
      <c r="B155" s="26" t="s">
        <v>27</v>
      </c>
      <c r="C155" s="28"/>
      <c r="D155" s="42"/>
      <c r="E155" s="27"/>
      <c r="F155" s="39"/>
      <c r="G155" s="70"/>
      <c r="H155" s="70"/>
      <c r="I155" s="70"/>
      <c r="J155" s="70"/>
      <c r="K155" s="78" t="s">
        <v>534</v>
      </c>
      <c r="L155" s="132"/>
      <c r="M155" s="139" t="s">
        <v>90</v>
      </c>
      <c r="N155" s="108" t="s">
        <v>39</v>
      </c>
      <c r="O155" s="133" t="s">
        <v>40</v>
      </c>
    </row>
    <row r="156" spans="2:16" s="117" customFormat="1" ht="12.45" customHeight="1" x14ac:dyDescent="0.35">
      <c r="B156" s="103">
        <v>5020240007</v>
      </c>
      <c r="C156" s="82"/>
      <c r="D156" s="230">
        <v>0.4</v>
      </c>
      <c r="E156" s="52"/>
      <c r="F156" s="52"/>
      <c r="G156" s="229"/>
      <c r="H156" s="52"/>
      <c r="I156" s="52"/>
      <c r="J156" s="118"/>
      <c r="K156" s="134">
        <f>($R$3*L156)*(100%+N156)</f>
        <v>0</v>
      </c>
      <c r="L156" s="132">
        <f>(M156*(100%+O156))</f>
        <v>14.35</v>
      </c>
      <c r="M156" s="275">
        <v>14.35</v>
      </c>
      <c r="N156" s="126">
        <v>0.95</v>
      </c>
      <c r="O156" s="136">
        <v>0</v>
      </c>
      <c r="P156" s="95"/>
    </row>
    <row r="157" spans="2:16" ht="7.5" customHeight="1" x14ac:dyDescent="0.35">
      <c r="L157" s="19"/>
      <c r="M157" s="295"/>
      <c r="O157" s="19"/>
    </row>
    <row r="158" spans="2:16" ht="7.5" customHeight="1" x14ac:dyDescent="0.35">
      <c r="L158" s="19"/>
      <c r="M158" s="295"/>
      <c r="O158" s="19"/>
    </row>
    <row r="159" spans="2:16" x14ac:dyDescent="0.35">
      <c r="B159" s="17" t="s">
        <v>284</v>
      </c>
      <c r="K159" s="20"/>
      <c r="L159" s="19"/>
      <c r="N159" s="19"/>
      <c r="O159" s="19"/>
    </row>
    <row r="160" spans="2:16" x14ac:dyDescent="0.35">
      <c r="B160" s="45" t="s">
        <v>285</v>
      </c>
      <c r="K160" s="45"/>
      <c r="L160" s="45"/>
      <c r="N160" s="45"/>
      <c r="O160" s="45"/>
      <c r="P160" s="45"/>
    </row>
    <row r="161" spans="2:17" ht="6.45" customHeight="1" x14ac:dyDescent="0.35">
      <c r="B161" s="45"/>
      <c r="K161" s="45"/>
      <c r="L161" s="45"/>
      <c r="N161" s="45"/>
      <c r="O161" s="45"/>
      <c r="P161" s="45"/>
    </row>
    <row r="162" spans="2:17" ht="6.45" customHeight="1" x14ac:dyDescent="0.35">
      <c r="B162" s="45"/>
      <c r="K162" s="45"/>
      <c r="L162" s="45"/>
      <c r="N162" s="45"/>
      <c r="O162" s="45"/>
      <c r="P162" s="45"/>
    </row>
    <row r="163" spans="2:17" s="45" customFormat="1" ht="12.45" customHeight="1" x14ac:dyDescent="0.35">
      <c r="B163" s="26" t="s">
        <v>27</v>
      </c>
      <c r="C163" s="28"/>
      <c r="D163" s="42"/>
      <c r="E163" s="27"/>
      <c r="F163" s="39"/>
      <c r="G163" s="70"/>
      <c r="H163" s="70"/>
      <c r="I163" s="70"/>
      <c r="J163" s="70"/>
      <c r="K163" s="78" t="s">
        <v>287</v>
      </c>
      <c r="L163" s="132"/>
      <c r="M163" s="139" t="s">
        <v>90</v>
      </c>
      <c r="N163" s="108" t="s">
        <v>39</v>
      </c>
      <c r="O163" s="133" t="s">
        <v>40</v>
      </c>
    </row>
    <row r="164" spans="2:17" s="117" customFormat="1" ht="12.45" customHeight="1" x14ac:dyDescent="0.35">
      <c r="B164" s="103">
        <v>5020240008</v>
      </c>
      <c r="C164" s="82"/>
      <c r="D164" s="230" t="s">
        <v>286</v>
      </c>
      <c r="E164" s="52"/>
      <c r="F164" s="52"/>
      <c r="G164" s="229"/>
      <c r="H164" s="52"/>
      <c r="I164" s="52"/>
      <c r="J164" s="118"/>
      <c r="K164" s="134">
        <f>($R$3*L164)*(100%+N164)</f>
        <v>0</v>
      </c>
      <c r="L164" s="132">
        <f>(M164*(100%+O164))</f>
        <v>6.78</v>
      </c>
      <c r="M164" s="275">
        <v>6.78</v>
      </c>
      <c r="N164" s="126">
        <v>1.25</v>
      </c>
      <c r="O164" s="136">
        <v>0</v>
      </c>
      <c r="P164" s="95"/>
    </row>
    <row r="165" spans="2:17" ht="7.5" customHeight="1" x14ac:dyDescent="0.35">
      <c r="L165" s="19"/>
      <c r="M165" s="295"/>
      <c r="O165" s="19"/>
    </row>
    <row r="166" spans="2:17" ht="7.5" customHeight="1" x14ac:dyDescent="0.35">
      <c r="L166" s="19"/>
      <c r="M166" s="295"/>
      <c r="O166" s="19"/>
    </row>
    <row r="167" spans="2:17" x14ac:dyDescent="0.35">
      <c r="B167" s="17" t="s">
        <v>411</v>
      </c>
      <c r="K167" s="20"/>
      <c r="L167" s="19"/>
      <c r="N167" s="19"/>
      <c r="O167" s="19"/>
    </row>
    <row r="168" spans="2:17" ht="12.45" customHeight="1" x14ac:dyDescent="0.35">
      <c r="B168" s="45"/>
      <c r="K168" s="45"/>
      <c r="L168" s="45"/>
      <c r="N168" s="45"/>
      <c r="O168" s="45"/>
      <c r="P168" s="45"/>
    </row>
    <row r="169" spans="2:17" s="45" customFormat="1" ht="12.45" customHeight="1" x14ac:dyDescent="0.35">
      <c r="B169" s="26" t="s">
        <v>27</v>
      </c>
      <c r="C169" s="28"/>
      <c r="D169" s="42"/>
      <c r="E169" s="27"/>
      <c r="F169" s="39"/>
      <c r="G169" s="70"/>
      <c r="H169" s="70"/>
      <c r="I169" s="70"/>
      <c r="J169" s="70"/>
      <c r="K169" s="78" t="s">
        <v>85</v>
      </c>
      <c r="L169" s="132"/>
      <c r="M169" s="139" t="s">
        <v>90</v>
      </c>
      <c r="N169" s="108" t="s">
        <v>39</v>
      </c>
      <c r="O169" s="133" t="s">
        <v>40</v>
      </c>
    </row>
    <row r="170" spans="2:17" s="117" customFormat="1" ht="12.45" customHeight="1" x14ac:dyDescent="0.35">
      <c r="B170" s="103">
        <v>5020280001</v>
      </c>
      <c r="C170" s="82"/>
      <c r="D170" s="230" t="s">
        <v>742</v>
      </c>
      <c r="E170" s="230" t="s">
        <v>412</v>
      </c>
      <c r="F170" s="52"/>
      <c r="G170" s="229"/>
      <c r="H170" s="52"/>
      <c r="I170" s="52"/>
      <c r="J170" s="118"/>
      <c r="K170" s="134">
        <f>($R$3*L170)*(100%+N170)</f>
        <v>0</v>
      </c>
      <c r="L170" s="132">
        <f>(M170*(100%+O170))</f>
        <v>0.28999999999999998</v>
      </c>
      <c r="M170" s="275">
        <v>0.28999999999999998</v>
      </c>
      <c r="N170" s="126">
        <v>0.75</v>
      </c>
      <c r="O170" s="136">
        <v>0</v>
      </c>
      <c r="P170" s="95"/>
    </row>
    <row r="171" spans="2:17" s="117" customFormat="1" ht="6.45" customHeight="1" x14ac:dyDescent="0.35">
      <c r="B171" s="103"/>
      <c r="C171" s="82"/>
      <c r="D171" s="230"/>
      <c r="E171" s="52"/>
      <c r="F171" s="52"/>
      <c r="G171" s="229"/>
      <c r="H171" s="52"/>
      <c r="I171" s="52"/>
      <c r="J171" s="52"/>
      <c r="K171" s="106"/>
      <c r="M171" s="291"/>
      <c r="N171" s="86"/>
      <c r="O171" s="94"/>
      <c r="P171" s="45"/>
      <c r="Q171" s="95"/>
    </row>
    <row r="172" spans="2:17" s="117" customFormat="1" ht="6.45" customHeight="1" x14ac:dyDescent="0.35">
      <c r="B172" s="103"/>
      <c r="C172" s="82"/>
      <c r="D172" s="230"/>
      <c r="E172" s="52"/>
      <c r="F172" s="52"/>
      <c r="G172" s="229"/>
      <c r="H172" s="52"/>
      <c r="I172" s="52"/>
      <c r="J172" s="52"/>
      <c r="K172" s="106"/>
      <c r="M172" s="291"/>
      <c r="N172" s="86"/>
      <c r="O172" s="94"/>
      <c r="P172" s="45"/>
      <c r="Q172" s="95"/>
    </row>
    <row r="173" spans="2:17" x14ac:dyDescent="0.35">
      <c r="B173" s="17" t="s">
        <v>816</v>
      </c>
      <c r="K173" s="20"/>
      <c r="L173" s="19"/>
      <c r="N173" s="19"/>
      <c r="O173" s="19"/>
    </row>
    <row r="174" spans="2:17" ht="12.45" customHeight="1" x14ac:dyDescent="0.35">
      <c r="B174" s="45"/>
      <c r="K174" s="45"/>
      <c r="L174" s="45"/>
      <c r="N174" s="45"/>
      <c r="O174" s="45"/>
      <c r="P174" s="45"/>
    </row>
    <row r="175" spans="2:17" s="45" customFormat="1" ht="12.45" customHeight="1" x14ac:dyDescent="0.35">
      <c r="B175" s="26" t="s">
        <v>27</v>
      </c>
      <c r="C175" s="28"/>
      <c r="D175" s="42" t="s">
        <v>194</v>
      </c>
      <c r="E175" s="27"/>
      <c r="F175" s="39"/>
      <c r="G175" s="70"/>
      <c r="H175" s="70"/>
      <c r="I175" s="70"/>
      <c r="J175" s="70"/>
      <c r="K175" s="78" t="s">
        <v>85</v>
      </c>
      <c r="L175" s="132"/>
      <c r="M175" s="139" t="s">
        <v>90</v>
      </c>
      <c r="N175" s="108" t="s">
        <v>39</v>
      </c>
      <c r="O175" s="133" t="s">
        <v>40</v>
      </c>
    </row>
    <row r="176" spans="2:17" s="117" customFormat="1" ht="12.45" customHeight="1" x14ac:dyDescent="0.35">
      <c r="B176" s="103">
        <v>5020280016</v>
      </c>
      <c r="C176" s="82"/>
      <c r="D176" s="230" t="s">
        <v>817</v>
      </c>
      <c r="E176" s="230" t="s">
        <v>818</v>
      </c>
      <c r="F176" s="52"/>
      <c r="G176" s="229"/>
      <c r="H176" s="52"/>
      <c r="I176" s="52"/>
      <c r="J176" s="118"/>
      <c r="K176" s="134">
        <f>($R$3*L176)*(100%+N176)</f>
        <v>0</v>
      </c>
      <c r="L176" s="132">
        <f>(M176*(100%+O176))</f>
        <v>0.75</v>
      </c>
      <c r="M176" s="320">
        <v>0.75</v>
      </c>
      <c r="N176" s="126">
        <v>1.254</v>
      </c>
      <c r="O176" s="136">
        <v>0</v>
      </c>
      <c r="P176" s="95"/>
    </row>
    <row r="177" spans="2:17" s="117" customFormat="1" ht="6.45" customHeight="1" x14ac:dyDescent="0.35">
      <c r="B177" s="103"/>
      <c r="C177" s="82"/>
      <c r="D177" s="230"/>
      <c r="E177" s="52"/>
      <c r="F177" s="52"/>
      <c r="G177" s="229"/>
      <c r="H177" s="52"/>
      <c r="I177" s="52"/>
      <c r="J177" s="52"/>
      <c r="K177" s="106"/>
      <c r="M177" s="291"/>
      <c r="N177" s="86"/>
      <c r="O177" s="94"/>
      <c r="P177" s="45"/>
      <c r="Q177" s="95"/>
    </row>
    <row r="178" spans="2:17" s="117" customFormat="1" ht="6.45" customHeight="1" x14ac:dyDescent="0.35">
      <c r="B178" s="103"/>
      <c r="C178" s="82"/>
      <c r="D178" s="230"/>
      <c r="E178" s="52"/>
      <c r="F178" s="52"/>
      <c r="G178" s="229"/>
      <c r="H178" s="52"/>
      <c r="I178" s="52"/>
      <c r="J178" s="52"/>
      <c r="K178" s="106"/>
      <c r="M178" s="291"/>
      <c r="N178" s="86"/>
      <c r="O178" s="94"/>
      <c r="P178" s="45"/>
      <c r="Q178" s="95"/>
    </row>
    <row r="179" spans="2:17" x14ac:dyDescent="0.35">
      <c r="B179" s="17" t="s">
        <v>413</v>
      </c>
      <c r="K179" s="20"/>
      <c r="L179" s="19"/>
      <c r="N179" s="19"/>
      <c r="O179" s="19"/>
    </row>
    <row r="180" spans="2:17" ht="12.45" customHeight="1" x14ac:dyDescent="0.35">
      <c r="B180" s="45"/>
      <c r="K180" s="45"/>
      <c r="L180" s="45"/>
      <c r="M180" s="226"/>
      <c r="N180" s="19"/>
      <c r="O180" s="45"/>
      <c r="P180" s="45"/>
      <c r="Q180" s="45"/>
    </row>
    <row r="181" spans="2:17" s="45" customFormat="1" ht="12.45" customHeight="1" x14ac:dyDescent="0.35">
      <c r="B181" s="26" t="s">
        <v>27</v>
      </c>
      <c r="C181" s="28"/>
      <c r="D181" s="42" t="s">
        <v>321</v>
      </c>
      <c r="E181" s="27"/>
      <c r="F181" s="39"/>
      <c r="G181" s="70"/>
      <c r="H181" s="70"/>
      <c r="I181" s="70"/>
      <c r="J181" s="70"/>
      <c r="K181" s="131" t="s">
        <v>77</v>
      </c>
      <c r="L181" s="139" t="s">
        <v>90</v>
      </c>
      <c r="M181" s="140" t="s">
        <v>30</v>
      </c>
      <c r="N181" s="139" t="s">
        <v>161</v>
      </c>
      <c r="O181" s="133"/>
      <c r="P181" s="117"/>
    </row>
    <row r="182" spans="2:17" s="117" customFormat="1" ht="12.45" customHeight="1" x14ac:dyDescent="0.35">
      <c r="B182" s="103">
        <v>5020280002</v>
      </c>
      <c r="C182" s="82"/>
      <c r="D182" s="230" t="s">
        <v>418</v>
      </c>
      <c r="E182" s="52"/>
      <c r="F182" s="52"/>
      <c r="G182" s="229"/>
      <c r="H182" s="52"/>
      <c r="I182" s="52"/>
      <c r="J182" s="118"/>
      <c r="K182" s="134">
        <f>$R$3*N182</f>
        <v>0</v>
      </c>
      <c r="L182" s="105">
        <f>N182*(100%-M182)</f>
        <v>35</v>
      </c>
      <c r="M182" s="293">
        <v>0.3</v>
      </c>
      <c r="N182" s="264">
        <v>50</v>
      </c>
      <c r="O182" s="136"/>
      <c r="Q182" s="95"/>
    </row>
    <row r="183" spans="2:17" s="117" customFormat="1" ht="6.45" customHeight="1" x14ac:dyDescent="0.35">
      <c r="B183" s="103"/>
      <c r="C183" s="82"/>
      <c r="D183" s="230"/>
      <c r="E183" s="52"/>
      <c r="F183" s="52"/>
      <c r="G183" s="229"/>
      <c r="H183" s="52"/>
      <c r="I183" s="52"/>
      <c r="J183" s="52"/>
      <c r="K183" s="106"/>
      <c r="M183" s="291"/>
      <c r="N183" s="86"/>
      <c r="O183" s="94"/>
      <c r="P183" s="45"/>
      <c r="Q183" s="95"/>
    </row>
    <row r="184" spans="2:17" s="117" customFormat="1" ht="6.45" customHeight="1" x14ac:dyDescent="0.35">
      <c r="B184" s="103"/>
      <c r="C184" s="82"/>
      <c r="D184" s="230"/>
      <c r="E184" s="52"/>
      <c r="F184" s="52"/>
      <c r="G184" s="229"/>
      <c r="H184" s="52"/>
      <c r="I184" s="52"/>
      <c r="J184" s="52"/>
      <c r="K184" s="106"/>
      <c r="M184" s="291"/>
      <c r="N184" s="86"/>
      <c r="O184" s="94"/>
      <c r="P184" s="45"/>
      <c r="Q184" s="95"/>
    </row>
    <row r="185" spans="2:17" x14ac:dyDescent="0.35">
      <c r="B185" s="17" t="s">
        <v>714</v>
      </c>
      <c r="K185" s="20"/>
      <c r="L185" s="19"/>
      <c r="N185" s="19"/>
      <c r="O185" s="19"/>
    </row>
    <row r="186" spans="2:17" x14ac:dyDescent="0.35">
      <c r="B186" s="45"/>
      <c r="K186" s="45"/>
      <c r="L186" s="45"/>
      <c r="M186" s="226"/>
      <c r="N186" s="19"/>
      <c r="O186" s="45"/>
      <c r="P186" s="45"/>
      <c r="Q186" s="45"/>
    </row>
    <row r="187" spans="2:17" s="45" customFormat="1" ht="12.45" customHeight="1" x14ac:dyDescent="0.35">
      <c r="B187" s="26" t="s">
        <v>27</v>
      </c>
      <c r="C187" s="28"/>
      <c r="D187" s="23" t="s">
        <v>321</v>
      </c>
      <c r="E187" s="27" t="s">
        <v>326</v>
      </c>
      <c r="F187" s="39" t="s">
        <v>322</v>
      </c>
      <c r="G187" s="74" t="s">
        <v>324</v>
      </c>
      <c r="H187" s="70"/>
      <c r="I187" s="70"/>
      <c r="J187" s="70"/>
      <c r="K187" s="131" t="s">
        <v>190</v>
      </c>
      <c r="L187" s="139" t="s">
        <v>90</v>
      </c>
      <c r="M187" s="140" t="s">
        <v>30</v>
      </c>
      <c r="N187" s="139" t="s">
        <v>161</v>
      </c>
      <c r="O187" s="133"/>
      <c r="P187" s="117"/>
    </row>
    <row r="188" spans="2:17" s="117" customFormat="1" ht="12.45" customHeight="1" x14ac:dyDescent="0.35">
      <c r="B188" s="103">
        <v>5030040062</v>
      </c>
      <c r="C188" s="82"/>
      <c r="D188" s="230" t="s">
        <v>328</v>
      </c>
      <c r="E188" s="52" t="s">
        <v>327</v>
      </c>
      <c r="F188" s="52" t="s">
        <v>323</v>
      </c>
      <c r="G188" s="229" t="s">
        <v>325</v>
      </c>
      <c r="H188" s="52"/>
      <c r="I188" s="52"/>
      <c r="J188" s="118"/>
      <c r="K188" s="134">
        <f>$R$3*N188</f>
        <v>0</v>
      </c>
      <c r="L188" s="105">
        <f>N188*(100%-M188)</f>
        <v>3.2445000000000004</v>
      </c>
      <c r="M188" s="293">
        <v>0.37</v>
      </c>
      <c r="N188" s="264">
        <v>5.15</v>
      </c>
      <c r="O188" s="136"/>
      <c r="Q188" s="95"/>
    </row>
    <row r="189" spans="2:17" ht="6.45" customHeight="1" x14ac:dyDescent="0.35"/>
    <row r="190" spans="2:17" ht="6.45" customHeight="1" x14ac:dyDescent="0.35"/>
    <row r="191" spans="2:17" x14ac:dyDescent="0.35">
      <c r="B191" s="17" t="s">
        <v>414</v>
      </c>
      <c r="K191" s="20"/>
      <c r="L191" s="19"/>
      <c r="N191" s="19"/>
      <c r="O191" s="19"/>
    </row>
    <row r="192" spans="2:17" ht="9" customHeight="1" x14ac:dyDescent="0.35">
      <c r="B192" s="45"/>
      <c r="K192" s="45"/>
      <c r="L192" s="45"/>
      <c r="M192" s="226"/>
      <c r="N192" s="19"/>
      <c r="O192" s="45"/>
      <c r="P192" s="45"/>
      <c r="Q192" s="45"/>
    </row>
    <row r="193" spans="2:17" s="45" customFormat="1" ht="12.45" customHeight="1" x14ac:dyDescent="0.35">
      <c r="B193" s="26" t="s">
        <v>27</v>
      </c>
      <c r="C193" s="28"/>
      <c r="D193" s="39" t="s">
        <v>194</v>
      </c>
      <c r="E193" s="27"/>
      <c r="F193" s="39" t="s">
        <v>416</v>
      </c>
      <c r="G193" s="70"/>
      <c r="H193" s="70"/>
      <c r="I193" s="70"/>
      <c r="J193" s="70"/>
      <c r="K193" s="78" t="s">
        <v>85</v>
      </c>
      <c r="L193" s="132"/>
      <c r="M193" s="139" t="s">
        <v>90</v>
      </c>
      <c r="N193" s="108" t="s">
        <v>39</v>
      </c>
      <c r="O193" s="133" t="s">
        <v>40</v>
      </c>
    </row>
    <row r="194" spans="2:17" s="117" customFormat="1" ht="12.45" customHeight="1" x14ac:dyDescent="0.35">
      <c r="B194" s="103">
        <v>5020280004</v>
      </c>
      <c r="C194" s="82"/>
      <c r="D194" s="230" t="s">
        <v>415</v>
      </c>
      <c r="E194" s="52"/>
      <c r="F194" s="52" t="s">
        <v>417</v>
      </c>
      <c r="G194" s="229"/>
      <c r="H194" s="52"/>
      <c r="I194" s="52"/>
      <c r="J194" s="118"/>
      <c r="K194" s="134">
        <f>($R$3*L194)*(100%+N194)</f>
        <v>0</v>
      </c>
      <c r="L194" s="132">
        <f>(M194*(100%+O194))</f>
        <v>20.8</v>
      </c>
      <c r="M194" s="320">
        <v>20.8</v>
      </c>
      <c r="N194" s="126">
        <v>1.254</v>
      </c>
      <c r="O194" s="136">
        <v>0</v>
      </c>
      <c r="P194" s="95"/>
    </row>
    <row r="195" spans="2:17" ht="6.45" customHeight="1" x14ac:dyDescent="0.35"/>
    <row r="196" spans="2:17" ht="6.45" customHeight="1" x14ac:dyDescent="0.35"/>
    <row r="197" spans="2:17" x14ac:dyDescent="0.35">
      <c r="B197" s="17" t="s">
        <v>789</v>
      </c>
      <c r="K197" s="20"/>
      <c r="L197" s="19"/>
      <c r="N197" s="19"/>
      <c r="O197" s="19"/>
    </row>
    <row r="198" spans="2:17" ht="12.9" customHeight="1" x14ac:dyDescent="0.35">
      <c r="B198" s="45"/>
      <c r="K198" s="45"/>
      <c r="L198" s="45"/>
      <c r="M198" s="226"/>
      <c r="N198" s="19"/>
      <c r="O198" s="45"/>
      <c r="P198" s="45"/>
      <c r="Q198" s="45"/>
    </row>
    <row r="199" spans="2:17" s="45" customFormat="1" ht="12.45" customHeight="1" x14ac:dyDescent="0.35">
      <c r="B199" s="26" t="s">
        <v>27</v>
      </c>
      <c r="C199" s="28"/>
      <c r="D199" s="39" t="s">
        <v>321</v>
      </c>
      <c r="E199" s="27"/>
      <c r="F199" s="39"/>
      <c r="G199" s="70"/>
      <c r="H199" s="70"/>
      <c r="I199" s="70"/>
      <c r="J199" s="70"/>
      <c r="K199" s="78" t="s">
        <v>822</v>
      </c>
      <c r="L199" s="139" t="s">
        <v>90</v>
      </c>
      <c r="M199" s="140" t="s">
        <v>30</v>
      </c>
      <c r="N199" s="139" t="s">
        <v>161</v>
      </c>
      <c r="O199" s="133"/>
    </row>
    <row r="200" spans="2:17" s="117" customFormat="1" ht="12.45" customHeight="1" x14ac:dyDescent="0.35">
      <c r="B200" s="103">
        <v>5020280007</v>
      </c>
      <c r="C200" s="82"/>
      <c r="D200" s="230" t="s">
        <v>328</v>
      </c>
      <c r="E200" s="52"/>
      <c r="F200" s="52"/>
      <c r="G200" s="229"/>
      <c r="H200" s="52"/>
      <c r="I200" s="52"/>
      <c r="J200" s="118"/>
      <c r="K200" s="134">
        <f>$R$3*N200</f>
        <v>0</v>
      </c>
      <c r="L200" s="105">
        <f>N200*(100%-M200)</f>
        <v>48.1</v>
      </c>
      <c r="M200" s="293">
        <v>0.35</v>
      </c>
      <c r="N200" s="264">
        <v>74</v>
      </c>
      <c r="O200" s="136"/>
      <c r="P200" s="95"/>
    </row>
    <row r="201" spans="2:17" ht="6.45" customHeight="1" x14ac:dyDescent="0.35"/>
    <row r="202" spans="2:17" ht="6.45" customHeight="1" x14ac:dyDescent="0.35"/>
    <row r="203" spans="2:17" x14ac:dyDescent="0.35">
      <c r="B203" s="17" t="s">
        <v>792</v>
      </c>
      <c r="K203" s="20"/>
      <c r="L203" s="19"/>
      <c r="N203" s="19"/>
      <c r="O203" s="19"/>
    </row>
    <row r="204" spans="2:17" ht="12.9" customHeight="1" x14ac:dyDescent="0.35">
      <c r="B204" s="45"/>
      <c r="K204" s="45"/>
      <c r="L204" s="45"/>
      <c r="M204" s="226"/>
      <c r="N204" s="19"/>
      <c r="O204" s="45"/>
      <c r="P204" s="45"/>
      <c r="Q204" s="45"/>
    </row>
    <row r="205" spans="2:17" s="45" customFormat="1" ht="12.45" customHeight="1" x14ac:dyDescent="0.35">
      <c r="B205" s="26" t="s">
        <v>27</v>
      </c>
      <c r="C205" s="28"/>
      <c r="D205" s="39" t="s">
        <v>194</v>
      </c>
      <c r="E205" s="27"/>
      <c r="F205" s="39" t="s">
        <v>416</v>
      </c>
      <c r="G205" s="70"/>
      <c r="H205" s="70"/>
      <c r="I205" s="70"/>
      <c r="J205" s="70"/>
      <c r="K205" s="78" t="s">
        <v>85</v>
      </c>
      <c r="L205" s="139" t="s">
        <v>90</v>
      </c>
      <c r="M205" s="140" t="s">
        <v>30</v>
      </c>
      <c r="N205" s="139" t="s">
        <v>161</v>
      </c>
      <c r="O205" s="133"/>
    </row>
    <row r="206" spans="2:17" s="117" customFormat="1" ht="12.45" customHeight="1" x14ac:dyDescent="0.35">
      <c r="B206" s="103">
        <v>5020280012</v>
      </c>
      <c r="C206" s="82"/>
      <c r="D206" s="230" t="s">
        <v>790</v>
      </c>
      <c r="E206" s="52"/>
      <c r="F206" s="52" t="s">
        <v>791</v>
      </c>
      <c r="G206" s="229"/>
      <c r="H206" s="52"/>
      <c r="I206" s="52"/>
      <c r="J206" s="118"/>
      <c r="K206" s="134">
        <f>$R$3*N206</f>
        <v>0</v>
      </c>
      <c r="L206" s="105">
        <f>N206*(100%-M206)</f>
        <v>15.889999999999999</v>
      </c>
      <c r="M206" s="293">
        <v>0.3</v>
      </c>
      <c r="N206" s="264">
        <v>22.7</v>
      </c>
      <c r="O206" s="136"/>
      <c r="P206" s="95"/>
    </row>
    <row r="207" spans="2:17" ht="6.45" customHeight="1" x14ac:dyDescent="0.35"/>
    <row r="208" spans="2:17" ht="6.45" customHeight="1" x14ac:dyDescent="0.35"/>
    <row r="209" spans="2:17" x14ac:dyDescent="0.35">
      <c r="B209" s="17" t="s">
        <v>513</v>
      </c>
      <c r="K209" s="20"/>
      <c r="L209" s="19"/>
      <c r="N209" s="19"/>
      <c r="O209" s="19"/>
    </row>
    <row r="210" spans="2:17" x14ac:dyDescent="0.35">
      <c r="B210" s="45"/>
      <c r="K210" s="45"/>
      <c r="L210" s="45"/>
      <c r="M210" s="226"/>
      <c r="N210" s="19"/>
      <c r="O210" s="45"/>
      <c r="P210" s="45"/>
      <c r="Q210" s="45"/>
    </row>
    <row r="211" spans="2:17" s="45" customFormat="1" ht="12.45" customHeight="1" x14ac:dyDescent="0.35">
      <c r="B211" s="26" t="s">
        <v>27</v>
      </c>
      <c r="C211" s="28"/>
      <c r="D211" s="39" t="s">
        <v>514</v>
      </c>
      <c r="E211" s="27"/>
      <c r="F211" s="39"/>
      <c r="G211" s="70" t="s">
        <v>194</v>
      </c>
      <c r="H211" s="70"/>
      <c r="I211" s="70"/>
      <c r="J211" s="70"/>
      <c r="K211" s="78" t="s">
        <v>515</v>
      </c>
      <c r="L211" s="132"/>
      <c r="M211" s="139" t="s">
        <v>90</v>
      </c>
      <c r="N211" s="108" t="s">
        <v>39</v>
      </c>
      <c r="O211" s="133" t="s">
        <v>40</v>
      </c>
    </row>
    <row r="212" spans="2:17" s="117" customFormat="1" ht="12.45" customHeight="1" x14ac:dyDescent="0.35">
      <c r="B212" s="103">
        <v>3040160017</v>
      </c>
      <c r="C212" s="82"/>
      <c r="D212" s="230" t="s">
        <v>715</v>
      </c>
      <c r="E212" s="52"/>
      <c r="F212" s="52"/>
      <c r="G212" s="229" t="s">
        <v>516</v>
      </c>
      <c r="H212" s="52"/>
      <c r="I212" s="52"/>
      <c r="J212" s="118"/>
      <c r="K212" s="134">
        <f>($R$3*L212)*(100%+N212)</f>
        <v>0</v>
      </c>
      <c r="L212" s="132">
        <f>(M212*(100%+O212))</f>
        <v>4.9150499999999999</v>
      </c>
      <c r="M212" s="275">
        <v>4.53</v>
      </c>
      <c r="N212" s="126">
        <v>0.49299999999999999</v>
      </c>
      <c r="O212" s="136">
        <v>8.5000000000000006E-2</v>
      </c>
      <c r="P212" s="95"/>
    </row>
    <row r="213" spans="2:17" ht="12.45" customHeight="1" x14ac:dyDescent="0.35">
      <c r="B213" s="103">
        <v>3040160018</v>
      </c>
      <c r="C213" s="82"/>
      <c r="D213" s="230" t="s">
        <v>517</v>
      </c>
      <c r="E213" s="52"/>
      <c r="F213" s="52"/>
      <c r="G213" s="229" t="s">
        <v>518</v>
      </c>
      <c r="H213" s="52"/>
      <c r="I213" s="52"/>
      <c r="J213" s="118"/>
      <c r="K213" s="134">
        <f>($R$3*L213)*(100%+N213)</f>
        <v>0</v>
      </c>
      <c r="L213" s="132">
        <f>(M213*(100%+O213))</f>
        <v>3.3743499999999997</v>
      </c>
      <c r="M213" s="275">
        <v>3.11</v>
      </c>
      <c r="N213" s="126">
        <v>0.50800000000000001</v>
      </c>
      <c r="O213" s="136">
        <v>8.5000000000000006E-2</v>
      </c>
      <c r="P213" s="95"/>
    </row>
  </sheetData>
  <sheetProtection algorithmName="SHA-512" hashValue="af8Yw7GpAa06A2anx6upZB4ac2RZ/Yk5iNezbptHVoyAGjNG7B4iJyOedLK7uVV9tVmGi4Kw3ntLPcUom2HzWg==" saltValue="xoU5QdIpu73F9HOynSLMDQ==" spinCount="100000" sheet="1" objects="1" scenarios="1"/>
  <conditionalFormatting sqref="B130:F131">
    <cfRule type="expression" dxfId="152" priority="68">
      <formula>MOD(ROW(),2)=0</formula>
    </cfRule>
  </conditionalFormatting>
  <conditionalFormatting sqref="B14:K24">
    <cfRule type="expression" dxfId="151" priority="16">
      <formula>MOD(ROW(),2)=0</formula>
    </cfRule>
  </conditionalFormatting>
  <conditionalFormatting sqref="B30:K35">
    <cfRule type="expression" dxfId="150" priority="78">
      <formula>MOD(ROW(),2)=0</formula>
    </cfRule>
  </conditionalFormatting>
  <conditionalFormatting sqref="B58:K61">
    <cfRule type="expression" dxfId="149" priority="43">
      <formula>MOD(ROW(),2)=0</formula>
    </cfRule>
  </conditionalFormatting>
  <conditionalFormatting sqref="B182:K182">
    <cfRule type="expression" dxfId="148" priority="56">
      <formula>MOD(ROW(),2)=0</formula>
    </cfRule>
  </conditionalFormatting>
  <conditionalFormatting sqref="B188:K188">
    <cfRule type="expression" dxfId="147" priority="70">
      <formula>MOD(ROW(),2)=0</formula>
    </cfRule>
  </conditionalFormatting>
  <conditionalFormatting sqref="B200:K200">
    <cfRule type="expression" dxfId="146" priority="10">
      <formula>MOD(ROW(),2)=0</formula>
    </cfRule>
  </conditionalFormatting>
  <conditionalFormatting sqref="B206:K206">
    <cfRule type="expression" dxfId="145" priority="6">
      <formula>MOD(ROW(),2)=0</formula>
    </cfRule>
  </conditionalFormatting>
  <conditionalFormatting sqref="B6:L8 L9:L24 B84:L85">
    <cfRule type="expression" dxfId="144" priority="152">
      <formula>MOD(ROW(),2)=0</formula>
    </cfRule>
  </conditionalFormatting>
  <conditionalFormatting sqref="B66:L66">
    <cfRule type="expression" dxfId="143" priority="114">
      <formula>MOD(ROW(),2)=0</formula>
    </cfRule>
  </conditionalFormatting>
  <conditionalFormatting sqref="B72:L72">
    <cfRule type="expression" dxfId="142" priority="38">
      <formula>MOD(ROW(),2)=0</formula>
    </cfRule>
  </conditionalFormatting>
  <conditionalFormatting sqref="B78:L79">
    <cfRule type="expression" dxfId="141" priority="37">
      <formula>MOD(ROW(),2)=0</formula>
    </cfRule>
  </conditionalFormatting>
  <conditionalFormatting sqref="B90:L91">
    <cfRule type="expression" dxfId="140" priority="18">
      <formula>MOD(ROW(),2)=0</formula>
    </cfRule>
  </conditionalFormatting>
  <conditionalFormatting sqref="B96:L98">
    <cfRule type="expression" dxfId="139" priority="34">
      <formula>MOD(ROW(),2)=0</formula>
    </cfRule>
  </conditionalFormatting>
  <conditionalFormatting sqref="B104:L107">
    <cfRule type="expression" dxfId="138" priority="32">
      <formula>MOD(ROW(),2)=0</formula>
    </cfRule>
  </conditionalFormatting>
  <conditionalFormatting sqref="B112:L112">
    <cfRule type="expression" dxfId="137" priority="31">
      <formula>MOD(ROW(),2)=0</formula>
    </cfRule>
  </conditionalFormatting>
  <conditionalFormatting sqref="B118:L119">
    <cfRule type="expression" dxfId="136" priority="30">
      <formula>MOD(ROW(),2)=0</formula>
    </cfRule>
  </conditionalFormatting>
  <conditionalFormatting sqref="B124:L125">
    <cfRule type="expression" dxfId="135" priority="29">
      <formula>MOD(ROW(),2)=0</formula>
    </cfRule>
  </conditionalFormatting>
  <conditionalFormatting sqref="B136:L136">
    <cfRule type="expression" dxfId="134" priority="27">
      <formula>MOD(ROW(),2)=0</formula>
    </cfRule>
  </conditionalFormatting>
  <conditionalFormatting sqref="B142:L145">
    <cfRule type="expression" dxfId="133" priority="26">
      <formula>MOD(ROW(),2)=0</formula>
    </cfRule>
  </conditionalFormatting>
  <conditionalFormatting sqref="B150:L151">
    <cfRule type="expression" dxfId="132" priority="25">
      <formula>MOD(ROW(),2)=0</formula>
    </cfRule>
  </conditionalFormatting>
  <conditionalFormatting sqref="B156:L156">
    <cfRule type="expression" dxfId="131" priority="24">
      <formula>MOD(ROW(),2)=0</formula>
    </cfRule>
  </conditionalFormatting>
  <conditionalFormatting sqref="B164:L164">
    <cfRule type="expression" dxfId="130" priority="23">
      <formula>MOD(ROW(),2)=0</formula>
    </cfRule>
  </conditionalFormatting>
  <conditionalFormatting sqref="B170:L170">
    <cfRule type="expression" dxfId="129" priority="22">
      <formula>MOD(ROW(),2)=0</formula>
    </cfRule>
  </conditionalFormatting>
  <conditionalFormatting sqref="B176:L176">
    <cfRule type="expression" dxfId="128" priority="1">
      <formula>MOD(ROW(),2)=0</formula>
    </cfRule>
  </conditionalFormatting>
  <conditionalFormatting sqref="B194:L194">
    <cfRule type="expression" dxfId="127" priority="21">
      <formula>MOD(ROW(),2)=0</formula>
    </cfRule>
  </conditionalFormatting>
  <conditionalFormatting sqref="B212:L213">
    <cfRule type="expression" dxfId="126" priority="20">
      <formula>MOD(ROW(),2)=0</formula>
    </cfRule>
  </conditionalFormatting>
  <conditionalFormatting sqref="C6">
    <cfRule type="expression" dxfId="125" priority="141">
      <formula>MOD(ROW(),2)=0</formula>
    </cfRule>
  </conditionalFormatting>
  <conditionalFormatting sqref="C14">
    <cfRule type="expression" dxfId="124" priority="138">
      <formula>MOD(ROW(),2)=0</formula>
    </cfRule>
  </conditionalFormatting>
  <conditionalFormatting sqref="C20">
    <cfRule type="expression" dxfId="123" priority="14">
      <formula>MOD(ROW(),2)=0</formula>
    </cfRule>
  </conditionalFormatting>
  <conditionalFormatting sqref="C40">
    <cfRule type="expression" dxfId="122" priority="97">
      <formula>MOD(ROW(),2)=0</formula>
    </cfRule>
  </conditionalFormatting>
  <conditionalFormatting sqref="C46">
    <cfRule type="expression" dxfId="121" priority="94">
      <formula>MOD(ROW(),2)=0</formula>
    </cfRule>
  </conditionalFormatting>
  <conditionalFormatting sqref="C52">
    <cfRule type="expression" dxfId="120" priority="91">
      <formula>MOD(ROW(),2)=0</formula>
    </cfRule>
  </conditionalFormatting>
  <conditionalFormatting sqref="C58">
    <cfRule type="expression" dxfId="119" priority="48">
      <formula>MOD(ROW(),2)=0</formula>
    </cfRule>
  </conditionalFormatting>
  <conditionalFormatting sqref="C7:D8">
    <cfRule type="expression" dxfId="118" priority="142">
      <formula>MOD(ROW(),2)=0</formula>
    </cfRule>
  </conditionalFormatting>
  <conditionalFormatting sqref="C15:D19">
    <cfRule type="expression" dxfId="117" priority="139">
      <formula>MOD(ROW(),2)=0</formula>
    </cfRule>
  </conditionalFormatting>
  <conditionalFormatting sqref="C21:D24">
    <cfRule type="expression" dxfId="116" priority="15">
      <formula>MOD(ROW(),2)=0</formula>
    </cfRule>
  </conditionalFormatting>
  <conditionalFormatting sqref="C41:D41">
    <cfRule type="expression" dxfId="115" priority="98">
      <formula>MOD(ROW(),2)=0</formula>
    </cfRule>
  </conditionalFormatting>
  <conditionalFormatting sqref="C47:D47">
    <cfRule type="expression" dxfId="114" priority="95">
      <formula>MOD(ROW(),2)=0</formula>
    </cfRule>
  </conditionalFormatting>
  <conditionalFormatting sqref="C53:D53">
    <cfRule type="expression" dxfId="113" priority="92">
      <formula>MOD(ROW(),2)=0</formula>
    </cfRule>
  </conditionalFormatting>
  <conditionalFormatting sqref="C59:D61">
    <cfRule type="expression" dxfId="112" priority="44">
      <formula>MOD(ROW(),2)=0</formula>
    </cfRule>
  </conditionalFormatting>
  <conditionalFormatting sqref="G131:K131">
    <cfRule type="expression" dxfId="111" priority="69">
      <formula>MOD(ROW(),2)=0</formula>
    </cfRule>
  </conditionalFormatting>
  <conditionalFormatting sqref="G130:L130">
    <cfRule type="expression" dxfId="110" priority="28">
      <formula>MOD(ROW(),2)=0</formula>
    </cfRule>
  </conditionalFormatting>
  <conditionalFormatting sqref="L27:L28">
    <cfRule type="expression" dxfId="109" priority="87">
      <formula>MOD(ROW(),2)=0</formula>
    </cfRule>
  </conditionalFormatting>
  <conditionalFormatting sqref="L37:L41 B40:K41">
    <cfRule type="expression" dxfId="108" priority="99">
      <formula>MOD(ROW(),2)=0</formula>
    </cfRule>
  </conditionalFormatting>
  <conditionalFormatting sqref="L43:L47 B46:K47">
    <cfRule type="expression" dxfId="107" priority="96">
      <formula>MOD(ROW(),2)=0</formula>
    </cfRule>
  </conditionalFormatting>
  <conditionalFormatting sqref="L49:L53 B52:K53">
    <cfRule type="expression" dxfId="106" priority="93">
      <formula>MOD(ROW(),2)=0</formula>
    </cfRule>
  </conditionalFormatting>
  <conditionalFormatting sqref="L55:L56">
    <cfRule type="expression" dxfId="105" priority="50">
      <formula>MOD(ROW(),2)=0</formula>
    </cfRule>
  </conditionalFormatting>
  <pageMargins left="0.70866141732283472" right="0.70866141732283472" top="1.3779527559055118" bottom="0.78740157480314965" header="0.31496062992125984" footer="0.31496062992125984"/>
  <pageSetup paperSize="9" scale="95" orientation="portrait" r:id="rId1"/>
  <headerFooter>
    <oddHeader>&amp;L&amp;G&amp;R&amp;"Century Gothic,Fett"&amp;16&amp;A</oddHeader>
  </headerFooter>
  <rowBreaks count="3" manualBreakCount="3">
    <brk id="54" max="10" man="1"/>
    <brk id="108" max="10" man="1"/>
    <brk id="158" max="10" man="1"/>
  </rowBreaks>
  <drawing r:id="rId2"/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rgb="FFFFFF00"/>
  </sheetPr>
  <dimension ref="A1:X174"/>
  <sheetViews>
    <sheetView showGridLines="0" view="pageBreakPreview" topLeftCell="A121" zoomScaleNormal="100" zoomScaleSheetLayoutView="100" workbookViewId="0">
      <selection activeCell="M140" sqref="M140"/>
    </sheetView>
  </sheetViews>
  <sheetFormatPr baseColWidth="10" defaultColWidth="11.25" defaultRowHeight="18" outlineLevelCol="1" x14ac:dyDescent="0.35"/>
  <cols>
    <col min="1" max="1" width="13.75" style="19" customWidth="1"/>
    <col min="2" max="2" width="8.75" style="17" customWidth="1"/>
    <col min="3" max="3" width="0.75" style="18" customWidth="1"/>
    <col min="4" max="5" width="6.25" style="19" customWidth="1"/>
    <col min="6" max="6" width="10.75" style="19" customWidth="1"/>
    <col min="7" max="9" width="4.75" style="19" customWidth="1"/>
    <col min="10" max="10" width="4.25" style="19" customWidth="1"/>
    <col min="11" max="11" width="0.75" style="19" customWidth="1"/>
    <col min="12" max="12" width="0.25" style="19" hidden="1" customWidth="1"/>
    <col min="13" max="13" width="4.75" style="19" customWidth="1"/>
    <col min="14" max="14" width="4.75" style="124" customWidth="1"/>
    <col min="15" max="15" width="4.75" style="125" hidden="1" customWidth="1" outlineLevel="1"/>
    <col min="16" max="16" width="5.75" style="18" hidden="1" customWidth="1" outlineLevel="1"/>
    <col min="17" max="18" width="6.25" style="126" hidden="1" customWidth="1" outlineLevel="1"/>
    <col min="19" max="19" width="13.125" style="19" hidden="1" customWidth="1" outlineLevel="1"/>
    <col min="20" max="20" width="11.25" style="19" hidden="1" customWidth="1" outlineLevel="1"/>
    <col min="21" max="21" width="2.25" style="19" hidden="1" customWidth="1" outlineLevel="1"/>
    <col min="22" max="23" width="11.25" style="19" hidden="1" customWidth="1" outlineLevel="1"/>
    <col min="24" max="24" width="11.25" style="19" collapsed="1"/>
    <col min="25" max="16384" width="11.25" style="19"/>
  </cols>
  <sheetData>
    <row r="1" spans="1:21" ht="6.45" customHeight="1" x14ac:dyDescent="0.35"/>
    <row r="2" spans="1:21" ht="6.45" customHeight="1" x14ac:dyDescent="0.35"/>
    <row r="3" spans="1:21" ht="18.45" thickBot="1" x14ac:dyDescent="0.4">
      <c r="B3" s="17" t="s">
        <v>716</v>
      </c>
      <c r="N3" s="124" t="s">
        <v>128</v>
      </c>
      <c r="P3" s="325"/>
      <c r="Q3" s="127"/>
      <c r="R3" s="127"/>
      <c r="S3" s="266"/>
      <c r="T3" s="302"/>
      <c r="U3" s="19">
        <f>(1-T5)*(1+T6)</f>
        <v>0</v>
      </c>
    </row>
    <row r="4" spans="1:21" ht="18.45" thickBot="1" x14ac:dyDescent="0.4">
      <c r="S4" s="266" t="s">
        <v>40</v>
      </c>
      <c r="T4" s="267">
        <v>0</v>
      </c>
    </row>
    <row r="5" spans="1:21" ht="28.75" thickBot="1" x14ac:dyDescent="0.4">
      <c r="B5" s="178" t="s">
        <v>27</v>
      </c>
      <c r="C5" s="179"/>
      <c r="D5" s="180" t="s">
        <v>125</v>
      </c>
      <c r="E5" s="181"/>
      <c r="F5" s="182" t="s">
        <v>137</v>
      </c>
      <c r="G5" s="182"/>
      <c r="H5" s="182"/>
      <c r="I5" s="182"/>
      <c r="J5" s="182"/>
      <c r="K5" s="182"/>
      <c r="L5" s="182"/>
      <c r="M5" s="183"/>
      <c r="N5" s="149" t="s">
        <v>85</v>
      </c>
      <c r="O5" s="132"/>
      <c r="P5" s="42" t="s">
        <v>90</v>
      </c>
      <c r="Q5" s="108" t="s">
        <v>39</v>
      </c>
      <c r="R5" s="133" t="s">
        <v>40</v>
      </c>
      <c r="S5" s="268" t="s">
        <v>30</v>
      </c>
      <c r="T5" s="269">
        <f>Inhaltsverzeichnis!K22</f>
        <v>1</v>
      </c>
    </row>
    <row r="6" spans="1:21" s="26" customFormat="1" ht="12.45" customHeight="1" thickBot="1" x14ac:dyDescent="0.4">
      <c r="B6" s="83">
        <v>2040060044</v>
      </c>
      <c r="D6" s="42" t="s">
        <v>114</v>
      </c>
      <c r="E6" s="42" t="s">
        <v>126</v>
      </c>
      <c r="F6" s="26" t="s">
        <v>127</v>
      </c>
      <c r="L6" s="93"/>
      <c r="M6" s="93"/>
      <c r="N6" s="134">
        <f>($U$3*O6)*(100%+Q6)</f>
        <v>0</v>
      </c>
      <c r="O6" s="132">
        <f>(P6*(100%+R6))</f>
        <v>10.395000000000001</v>
      </c>
      <c r="P6" s="320">
        <v>9.9</v>
      </c>
      <c r="Q6" s="126">
        <v>1.35</v>
      </c>
      <c r="R6" s="136">
        <v>0.05</v>
      </c>
      <c r="S6" s="266" t="s">
        <v>31</v>
      </c>
      <c r="T6" s="270">
        <v>0</v>
      </c>
    </row>
    <row r="7" spans="1:21" s="26" customFormat="1" ht="12.45" customHeight="1" x14ac:dyDescent="0.35">
      <c r="B7" s="83">
        <v>2040060045</v>
      </c>
      <c r="D7" s="42" t="s">
        <v>114</v>
      </c>
      <c r="E7" s="42" t="s">
        <v>126</v>
      </c>
      <c r="F7" s="26" t="s">
        <v>129</v>
      </c>
      <c r="L7" s="93"/>
      <c r="M7" s="93"/>
      <c r="N7" s="134">
        <f>($U$3*O7)*(100%+Q7)</f>
        <v>0</v>
      </c>
      <c r="O7" s="132">
        <f>(P7*(100%+R7))</f>
        <v>10.395000000000001</v>
      </c>
      <c r="P7" s="218">
        <f>P6</f>
        <v>9.9</v>
      </c>
      <c r="Q7" s="126">
        <v>1.35</v>
      </c>
      <c r="R7" s="126">
        <v>0.05</v>
      </c>
      <c r="S7" s="22"/>
      <c r="T7" s="138"/>
    </row>
    <row r="8" spans="1:21" s="52" customFormat="1" ht="12.45" customHeight="1" x14ac:dyDescent="0.35">
      <c r="B8" s="103">
        <v>2040060046</v>
      </c>
      <c r="D8" s="42" t="s">
        <v>114</v>
      </c>
      <c r="E8" s="42" t="s">
        <v>126</v>
      </c>
      <c r="F8" s="26" t="s">
        <v>130</v>
      </c>
      <c r="L8" s="106"/>
      <c r="M8" s="106"/>
      <c r="N8" s="134">
        <f>($U$3*O8)*(100%+Q8)</f>
        <v>0</v>
      </c>
      <c r="O8" s="132">
        <f>(P8*(100%+R8))</f>
        <v>10.395000000000001</v>
      </c>
      <c r="P8" s="218">
        <f>P6</f>
        <v>9.9</v>
      </c>
      <c r="Q8" s="126">
        <v>1.35</v>
      </c>
      <c r="R8" s="126">
        <v>0.05</v>
      </c>
      <c r="S8" s="139"/>
      <c r="T8" s="140"/>
    </row>
    <row r="9" spans="1:21" s="45" customFormat="1" ht="7.5" customHeight="1" x14ac:dyDescent="0.35">
      <c r="B9" s="57"/>
      <c r="C9" s="18"/>
      <c r="D9" s="19"/>
      <c r="E9" s="19"/>
      <c r="F9" s="19"/>
      <c r="G9" s="19"/>
      <c r="H9" s="19"/>
      <c r="I9" s="19"/>
      <c r="J9" s="19"/>
      <c r="K9" s="19"/>
      <c r="L9" s="19"/>
      <c r="M9" s="19"/>
      <c r="N9" s="124"/>
      <c r="O9" s="132"/>
      <c r="P9" s="42"/>
      <c r="Q9" s="126"/>
      <c r="R9" s="126"/>
    </row>
    <row r="10" spans="1:21" s="45" customFormat="1" ht="7.5" customHeight="1" x14ac:dyDescent="0.35">
      <c r="B10" s="57"/>
      <c r="C10" s="18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24"/>
      <c r="O10" s="132"/>
      <c r="P10" s="42"/>
      <c r="Q10" s="126"/>
      <c r="R10" s="126"/>
    </row>
    <row r="11" spans="1:21" s="92" customFormat="1" x14ac:dyDescent="0.35">
      <c r="A11" s="19"/>
      <c r="B11" s="17" t="s">
        <v>717</v>
      </c>
      <c r="C11" s="18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24"/>
      <c r="O11" s="125"/>
      <c r="P11" s="325"/>
      <c r="Q11" s="127"/>
      <c r="R11" s="127"/>
    </row>
    <row r="12" spans="1:21" s="117" customFormat="1" ht="12.45" customHeight="1" x14ac:dyDescent="0.35">
      <c r="A12" s="19"/>
      <c r="B12" s="17"/>
      <c r="C12" s="18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24"/>
      <c r="O12" s="125"/>
      <c r="P12" s="18"/>
      <c r="Q12" s="126"/>
      <c r="R12" s="126"/>
    </row>
    <row r="13" spans="1:21" s="117" customFormat="1" ht="12.45" customHeight="1" x14ac:dyDescent="0.35">
      <c r="A13" s="19"/>
      <c r="B13" s="26" t="s">
        <v>27</v>
      </c>
      <c r="C13" s="45"/>
      <c r="D13" s="39"/>
      <c r="E13" s="28"/>
      <c r="F13" s="27" t="s">
        <v>137</v>
      </c>
      <c r="G13" s="27"/>
      <c r="H13" s="27"/>
      <c r="I13" s="27"/>
      <c r="J13" s="27"/>
      <c r="K13" s="27"/>
      <c r="L13" s="27"/>
      <c r="M13" s="23"/>
      <c r="N13" s="131" t="s">
        <v>77</v>
      </c>
      <c r="O13" s="132"/>
      <c r="P13" s="42" t="s">
        <v>90</v>
      </c>
      <c r="Q13" s="108" t="s">
        <v>39</v>
      </c>
      <c r="R13" s="133" t="s">
        <v>40</v>
      </c>
    </row>
    <row r="14" spans="1:21" s="117" customFormat="1" ht="12.45" customHeight="1" x14ac:dyDescent="0.35">
      <c r="A14" s="26"/>
      <c r="B14" s="83">
        <v>2040060047</v>
      </c>
      <c r="C14" s="26"/>
      <c r="D14" s="42"/>
      <c r="E14" s="42" t="s">
        <v>126</v>
      </c>
      <c r="F14" s="26" t="s">
        <v>127</v>
      </c>
      <c r="G14" s="26"/>
      <c r="H14" s="26"/>
      <c r="I14" s="26"/>
      <c r="J14" s="26"/>
      <c r="K14" s="26"/>
      <c r="L14" s="93"/>
      <c r="M14" s="93"/>
      <c r="N14" s="134">
        <f>($U$3*O14)*(100%+Q14)</f>
        <v>0</v>
      </c>
      <c r="O14" s="132">
        <f>(P14*(100%+R14))</f>
        <v>0.89249999999999996</v>
      </c>
      <c r="P14" s="320">
        <v>0.85</v>
      </c>
      <c r="Q14" s="126">
        <v>1.93</v>
      </c>
      <c r="R14" s="136">
        <v>0.05</v>
      </c>
    </row>
    <row r="15" spans="1:21" s="120" customFormat="1" ht="12.45" customHeight="1" x14ac:dyDescent="0.35">
      <c r="B15" s="83">
        <v>2040060048</v>
      </c>
      <c r="C15" s="26"/>
      <c r="D15" s="42"/>
      <c r="E15" s="42" t="s">
        <v>126</v>
      </c>
      <c r="F15" s="26" t="s">
        <v>129</v>
      </c>
      <c r="G15" s="26"/>
      <c r="H15" s="26"/>
      <c r="I15" s="26"/>
      <c r="J15" s="26"/>
      <c r="K15" s="26"/>
      <c r="L15" s="93"/>
      <c r="M15" s="93"/>
      <c r="N15" s="134">
        <f>($U$3*O15)*(100%+Q15)</f>
        <v>0</v>
      </c>
      <c r="O15" s="132">
        <f>(P15*(100%+R15))</f>
        <v>0.89249999999999996</v>
      </c>
      <c r="P15" s="218">
        <f>P14</f>
        <v>0.85</v>
      </c>
      <c r="Q15" s="126">
        <v>1.93</v>
      </c>
      <c r="R15" s="136">
        <v>0.05</v>
      </c>
    </row>
    <row r="16" spans="1:21" ht="12.45" customHeight="1" x14ac:dyDescent="0.35">
      <c r="B16" s="83">
        <v>2040060049</v>
      </c>
      <c r="C16" s="26"/>
      <c r="D16" s="42"/>
      <c r="E16" s="42" t="s">
        <v>126</v>
      </c>
      <c r="F16" s="26" t="s">
        <v>130</v>
      </c>
      <c r="G16" s="26"/>
      <c r="H16" s="26"/>
      <c r="I16" s="26"/>
      <c r="J16" s="26"/>
      <c r="K16" s="26"/>
      <c r="L16" s="93"/>
      <c r="M16" s="93"/>
      <c r="N16" s="134">
        <f>($U$3*O16)*(100%+Q16)</f>
        <v>0</v>
      </c>
      <c r="O16" s="132">
        <f>(P16*(100%+R16))</f>
        <v>0.89249999999999996</v>
      </c>
      <c r="P16" s="218">
        <f>P14</f>
        <v>0.85</v>
      </c>
      <c r="Q16" s="126">
        <v>1.93</v>
      </c>
      <c r="R16" s="136">
        <v>0.05</v>
      </c>
    </row>
    <row r="17" spans="1:19" ht="7.5" customHeight="1" x14ac:dyDescent="0.35">
      <c r="B17" s="83"/>
      <c r="C17" s="26"/>
      <c r="D17" s="42"/>
      <c r="E17" s="42"/>
      <c r="F17" s="26"/>
      <c r="G17" s="26"/>
      <c r="H17" s="26"/>
      <c r="I17" s="26"/>
      <c r="J17" s="26"/>
      <c r="K17" s="26"/>
      <c r="L17" s="93"/>
      <c r="M17" s="93"/>
      <c r="N17" s="131"/>
      <c r="O17" s="132"/>
      <c r="P17" s="275"/>
      <c r="R17" s="136"/>
    </row>
    <row r="18" spans="1:19" ht="7.5" customHeight="1" x14ac:dyDescent="0.35"/>
    <row r="19" spans="1:19" s="92" customFormat="1" x14ac:dyDescent="0.35">
      <c r="A19" s="19"/>
      <c r="B19" s="17" t="s">
        <v>753</v>
      </c>
      <c r="C19" s="18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24"/>
      <c r="O19" s="125"/>
      <c r="P19" s="325"/>
      <c r="Q19" s="127"/>
      <c r="R19" s="127"/>
    </row>
    <row r="20" spans="1:19" s="117" customFormat="1" ht="12.45" customHeight="1" x14ac:dyDescent="0.35">
      <c r="A20" s="19"/>
      <c r="B20" s="17"/>
      <c r="C20" s="18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24"/>
      <c r="O20" s="125"/>
      <c r="P20" s="18"/>
      <c r="Q20" s="126"/>
      <c r="R20" s="126"/>
    </row>
    <row r="21" spans="1:19" s="117" customFormat="1" ht="12.45" customHeight="1" x14ac:dyDescent="0.35">
      <c r="A21" s="19"/>
      <c r="B21" s="26" t="s">
        <v>27</v>
      </c>
      <c r="C21" s="45"/>
      <c r="D21" s="180" t="s">
        <v>194</v>
      </c>
      <c r="E21" s="181"/>
      <c r="F21" s="180" t="s">
        <v>110</v>
      </c>
      <c r="G21" s="27"/>
      <c r="H21" s="27"/>
      <c r="I21" s="27"/>
      <c r="J21" s="27"/>
      <c r="K21" s="27"/>
      <c r="L21" s="27"/>
      <c r="M21" s="23"/>
      <c r="N21" s="131" t="s">
        <v>77</v>
      </c>
      <c r="O21" s="132"/>
      <c r="P21" s="42" t="s">
        <v>90</v>
      </c>
      <c r="Q21" s="108" t="s">
        <v>39</v>
      </c>
      <c r="R21" s="133" t="s">
        <v>40</v>
      </c>
    </row>
    <row r="22" spans="1:19" s="117" customFormat="1" ht="12.45" customHeight="1" x14ac:dyDescent="0.35">
      <c r="A22" s="26"/>
      <c r="B22" s="83">
        <v>7010030006</v>
      </c>
      <c r="C22" s="26"/>
      <c r="D22" s="42" t="s">
        <v>754</v>
      </c>
      <c r="E22" s="42"/>
      <c r="F22" s="26" t="s">
        <v>558</v>
      </c>
      <c r="G22" s="26"/>
      <c r="H22" s="26"/>
      <c r="I22" s="26"/>
      <c r="J22" s="26"/>
      <c r="K22" s="26"/>
      <c r="L22" s="93"/>
      <c r="M22" s="93"/>
      <c r="N22" s="134">
        <f>($U$3*O22)*(100%+Q22)</f>
        <v>0</v>
      </c>
      <c r="O22" s="132">
        <f>(P22*(100%+R22))</f>
        <v>24.75</v>
      </c>
      <c r="P22" s="320">
        <v>24.75</v>
      </c>
      <c r="Q22" s="126">
        <v>1</v>
      </c>
      <c r="R22" s="136">
        <v>0</v>
      </c>
    </row>
    <row r="23" spans="1:19" s="120" customFormat="1" ht="12.45" customHeight="1" x14ac:dyDescent="0.35">
      <c r="B23" s="83">
        <v>7010030026</v>
      </c>
      <c r="C23" s="26"/>
      <c r="D23" s="42" t="s">
        <v>754</v>
      </c>
      <c r="E23" s="42"/>
      <c r="F23" s="26" t="s">
        <v>149</v>
      </c>
      <c r="G23" s="26"/>
      <c r="H23" s="26"/>
      <c r="I23" s="26"/>
      <c r="J23" s="26"/>
      <c r="K23" s="26"/>
      <c r="L23" s="93"/>
      <c r="M23" s="93"/>
      <c r="N23" s="134">
        <f>($U$3*O23)*(100%+Q23)</f>
        <v>0</v>
      </c>
      <c r="O23" s="132">
        <f>(P23*(100%+R23))</f>
        <v>14.85</v>
      </c>
      <c r="P23" s="320">
        <v>14.85</v>
      </c>
      <c r="Q23" s="126">
        <v>1</v>
      </c>
      <c r="R23" s="136">
        <v>0</v>
      </c>
    </row>
    <row r="24" spans="1:19" s="120" customFormat="1" ht="15" customHeight="1" x14ac:dyDescent="0.35">
      <c r="B24" s="83"/>
      <c r="C24" s="26"/>
      <c r="D24" s="42"/>
      <c r="E24" s="42"/>
      <c r="F24" s="26"/>
      <c r="G24" s="26"/>
      <c r="H24" s="26"/>
      <c r="I24" s="26"/>
      <c r="J24" s="26"/>
      <c r="K24" s="26"/>
      <c r="L24" s="93"/>
      <c r="M24" s="93"/>
      <c r="N24" s="131"/>
      <c r="O24" s="132"/>
      <c r="P24" s="275"/>
      <c r="Q24" s="126"/>
      <c r="R24" s="136"/>
    </row>
    <row r="25" spans="1:19" s="92" customFormat="1" x14ac:dyDescent="0.35">
      <c r="A25" s="19"/>
      <c r="B25" s="17" t="s">
        <v>718</v>
      </c>
      <c r="C25" s="18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24"/>
      <c r="O25" s="125"/>
      <c r="P25" s="325"/>
      <c r="Q25" s="127"/>
      <c r="R25" s="127"/>
    </row>
    <row r="26" spans="1:19" s="117" customFormat="1" ht="12.45" customHeight="1" x14ac:dyDescent="0.35">
      <c r="A26" s="19"/>
      <c r="B26" s="17"/>
      <c r="C26" s="1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24"/>
      <c r="O26" s="125"/>
      <c r="P26" s="18"/>
      <c r="Q26" s="126"/>
      <c r="R26" s="126"/>
    </row>
    <row r="27" spans="1:19" s="117" customFormat="1" ht="12.45" customHeight="1" x14ac:dyDescent="0.35">
      <c r="A27" s="19"/>
      <c r="B27" s="26" t="s">
        <v>27</v>
      </c>
      <c r="C27" s="45"/>
      <c r="D27" s="39"/>
      <c r="E27" s="27" t="s">
        <v>138</v>
      </c>
      <c r="F27" s="27" t="s">
        <v>137</v>
      </c>
      <c r="G27" s="27"/>
      <c r="H27" s="27"/>
      <c r="I27" s="27"/>
      <c r="J27" s="27"/>
      <c r="K27" s="27"/>
      <c r="L27" s="27"/>
      <c r="M27" s="23"/>
      <c r="N27" s="131" t="s">
        <v>77</v>
      </c>
      <c r="O27" s="132"/>
      <c r="P27" s="42" t="s">
        <v>90</v>
      </c>
      <c r="Q27" s="108" t="s">
        <v>39</v>
      </c>
      <c r="R27" s="133" t="s">
        <v>40</v>
      </c>
    </row>
    <row r="28" spans="1:19" s="117" customFormat="1" ht="12.45" customHeight="1" x14ac:dyDescent="0.35">
      <c r="A28" s="26"/>
      <c r="B28" s="83">
        <v>2040060050</v>
      </c>
      <c r="C28" s="26"/>
      <c r="D28" s="42" t="s">
        <v>131</v>
      </c>
      <c r="E28" s="39" t="s">
        <v>132</v>
      </c>
      <c r="F28" s="26" t="s">
        <v>127</v>
      </c>
      <c r="G28" s="26"/>
      <c r="H28" s="26"/>
      <c r="I28" s="26"/>
      <c r="J28" s="26"/>
      <c r="K28" s="26"/>
      <c r="L28" s="93"/>
      <c r="M28" s="93"/>
      <c r="N28" s="134">
        <f>($U$3*O28)*(100%+Q28)</f>
        <v>0</v>
      </c>
      <c r="O28" s="132">
        <f>(P28*(100%+R28))</f>
        <v>14.1225</v>
      </c>
      <c r="P28" s="320">
        <v>13.45</v>
      </c>
      <c r="Q28" s="126">
        <v>0.75</v>
      </c>
      <c r="R28" s="136">
        <v>0.05</v>
      </c>
    </row>
    <row r="29" spans="1:19" s="120" customFormat="1" ht="12.45" customHeight="1" x14ac:dyDescent="0.35">
      <c r="B29" s="83">
        <v>2040060051</v>
      </c>
      <c r="C29" s="26"/>
      <c r="D29" s="42" t="s">
        <v>131</v>
      </c>
      <c r="E29" s="39" t="s">
        <v>132</v>
      </c>
      <c r="F29" s="26" t="s">
        <v>129</v>
      </c>
      <c r="G29" s="26"/>
      <c r="H29" s="26"/>
      <c r="I29" s="26"/>
      <c r="J29" s="26"/>
      <c r="K29" s="26"/>
      <c r="L29" s="93"/>
      <c r="M29" s="93"/>
      <c r="N29" s="134">
        <f>($U$3*O29)*(100%+Q29)</f>
        <v>0</v>
      </c>
      <c r="O29" s="132">
        <f>(P29*(100%+R29))</f>
        <v>14.1225</v>
      </c>
      <c r="P29" s="218">
        <f>P28</f>
        <v>13.45</v>
      </c>
      <c r="Q29" s="126">
        <v>0.75</v>
      </c>
      <c r="R29" s="136">
        <v>0.05</v>
      </c>
    </row>
    <row r="30" spans="1:19" ht="12.45" customHeight="1" x14ac:dyDescent="0.35">
      <c r="B30" s="83">
        <v>2040060052</v>
      </c>
      <c r="C30" s="26"/>
      <c r="D30" s="42" t="s">
        <v>131</v>
      </c>
      <c r="E30" s="39" t="s">
        <v>132</v>
      </c>
      <c r="F30" s="26" t="s">
        <v>130</v>
      </c>
      <c r="G30" s="26"/>
      <c r="H30" s="26"/>
      <c r="I30" s="26"/>
      <c r="J30" s="26"/>
      <c r="K30" s="26"/>
      <c r="L30" s="93"/>
      <c r="M30" s="93"/>
      <c r="N30" s="134">
        <f>($U$3*O30)*(100%+Q30)</f>
        <v>0</v>
      </c>
      <c r="O30" s="132">
        <f>(P30*(100%+R30))</f>
        <v>14.1225</v>
      </c>
      <c r="P30" s="218">
        <f>P29</f>
        <v>13.45</v>
      </c>
      <c r="Q30" s="126">
        <v>0.75</v>
      </c>
      <c r="R30" s="136">
        <v>0.05</v>
      </c>
    </row>
    <row r="31" spans="1:19" ht="12.45" customHeight="1" x14ac:dyDescent="0.35">
      <c r="B31" s="83"/>
      <c r="C31" s="26"/>
      <c r="D31" s="42"/>
      <c r="E31" s="39"/>
      <c r="F31" s="26"/>
      <c r="G31" s="26"/>
      <c r="H31" s="26"/>
      <c r="I31" s="26"/>
      <c r="J31" s="26"/>
      <c r="K31" s="26"/>
      <c r="L31" s="93"/>
      <c r="M31" s="93"/>
      <c r="N31" s="131"/>
      <c r="O31" s="132"/>
      <c r="P31" s="218"/>
      <c r="Q31" s="107"/>
      <c r="R31" s="127"/>
    </row>
    <row r="32" spans="1:19" ht="12.45" customHeight="1" x14ac:dyDescent="0.35">
      <c r="B32" s="83">
        <v>2040060053</v>
      </c>
      <c r="C32" s="26"/>
      <c r="D32" s="42" t="s">
        <v>131</v>
      </c>
      <c r="E32" s="39" t="s">
        <v>133</v>
      </c>
      <c r="F32" s="26" t="s">
        <v>127</v>
      </c>
      <c r="G32" s="26"/>
      <c r="H32" s="26"/>
      <c r="I32" s="26"/>
      <c r="J32" s="26"/>
      <c r="K32" s="26"/>
      <c r="L32" s="93"/>
      <c r="M32" s="93"/>
      <c r="N32" s="134">
        <f>($U$3*O32)*(100%+Q32)</f>
        <v>0</v>
      </c>
      <c r="O32" s="132">
        <f>(P32*(100%+R32))</f>
        <v>15.225000000000001</v>
      </c>
      <c r="P32" s="320">
        <v>14.5</v>
      </c>
      <c r="Q32" s="126">
        <v>0.75</v>
      </c>
      <c r="R32" s="136">
        <v>0.05</v>
      </c>
      <c r="S32" s="373" t="s">
        <v>820</v>
      </c>
    </row>
    <row r="33" spans="1:19" ht="12.45" customHeight="1" x14ac:dyDescent="0.35">
      <c r="B33" s="83">
        <v>2040060054</v>
      </c>
      <c r="C33" s="26"/>
      <c r="D33" s="42" t="s">
        <v>131</v>
      </c>
      <c r="E33" s="39" t="s">
        <v>133</v>
      </c>
      <c r="F33" s="26" t="s">
        <v>129</v>
      </c>
      <c r="G33" s="26"/>
      <c r="H33" s="26"/>
      <c r="I33" s="26"/>
      <c r="J33" s="26"/>
      <c r="K33" s="26"/>
      <c r="L33" s="93"/>
      <c r="M33" s="93"/>
      <c r="N33" s="134">
        <f>($U$3*O33)*(100%+Q33)</f>
        <v>0</v>
      </c>
      <c r="O33" s="132">
        <f>(P33*(100%+R33))</f>
        <v>15.225000000000001</v>
      </c>
      <c r="P33" s="218">
        <f>P32</f>
        <v>14.5</v>
      </c>
      <c r="Q33" s="126">
        <v>0.75</v>
      </c>
      <c r="R33" s="136">
        <v>0.05</v>
      </c>
      <c r="S33" s="373" t="s">
        <v>820</v>
      </c>
    </row>
    <row r="34" spans="1:19" ht="12.45" customHeight="1" x14ac:dyDescent="0.35">
      <c r="B34" s="83">
        <v>2040060055</v>
      </c>
      <c r="C34" s="26"/>
      <c r="D34" s="42" t="s">
        <v>131</v>
      </c>
      <c r="E34" s="39" t="s">
        <v>133</v>
      </c>
      <c r="F34" s="26" t="s">
        <v>130</v>
      </c>
      <c r="G34" s="26"/>
      <c r="H34" s="26"/>
      <c r="I34" s="26"/>
      <c r="J34" s="26"/>
      <c r="K34" s="26"/>
      <c r="L34" s="93"/>
      <c r="M34" s="93"/>
      <c r="N34" s="134">
        <f>($U$3*O34)*(100%+Q34)</f>
        <v>0</v>
      </c>
      <c r="O34" s="132">
        <f>(P34*(100%+R34))</f>
        <v>15.225000000000001</v>
      </c>
      <c r="P34" s="218">
        <f>P32</f>
        <v>14.5</v>
      </c>
      <c r="Q34" s="126">
        <v>0.75</v>
      </c>
      <c r="R34" s="136">
        <v>0.05</v>
      </c>
      <c r="S34" s="373" t="s">
        <v>820</v>
      </c>
    </row>
    <row r="35" spans="1:19" ht="12.45" customHeight="1" x14ac:dyDescent="0.35">
      <c r="B35" s="83"/>
      <c r="C35" s="26"/>
      <c r="D35" s="42"/>
      <c r="E35" s="39"/>
      <c r="F35" s="26"/>
      <c r="G35" s="26"/>
      <c r="H35" s="26"/>
      <c r="I35" s="26"/>
      <c r="J35" s="26"/>
      <c r="K35" s="26"/>
      <c r="L35" s="93"/>
      <c r="M35" s="93"/>
      <c r="N35" s="131"/>
      <c r="O35" s="132"/>
      <c r="P35" s="218"/>
      <c r="Q35" s="107"/>
      <c r="R35" s="127"/>
      <c r="S35" s="373"/>
    </row>
    <row r="36" spans="1:19" ht="12.45" customHeight="1" x14ac:dyDescent="0.35">
      <c r="B36" s="83">
        <v>2040060056</v>
      </c>
      <c r="C36" s="26"/>
      <c r="D36" s="42" t="s">
        <v>131</v>
      </c>
      <c r="E36" s="39" t="s">
        <v>134</v>
      </c>
      <c r="F36" s="26" t="s">
        <v>127</v>
      </c>
      <c r="G36" s="26"/>
      <c r="H36" s="26"/>
      <c r="I36" s="26"/>
      <c r="J36" s="26"/>
      <c r="K36" s="26"/>
      <c r="L36" s="93"/>
      <c r="M36" s="93"/>
      <c r="N36" s="134">
        <f>($U$3*O36)*(100%+Q36)</f>
        <v>0</v>
      </c>
      <c r="O36" s="132">
        <f>(P36*(100%+R36))</f>
        <v>17.955000000000002</v>
      </c>
      <c r="P36" s="320">
        <v>17.100000000000001</v>
      </c>
      <c r="Q36" s="126">
        <v>0.75</v>
      </c>
      <c r="R36" s="136">
        <v>0.05</v>
      </c>
      <c r="S36" s="373" t="s">
        <v>820</v>
      </c>
    </row>
    <row r="37" spans="1:19" ht="12.45" customHeight="1" x14ac:dyDescent="0.35">
      <c r="B37" s="83">
        <v>2040060057</v>
      </c>
      <c r="C37" s="26"/>
      <c r="D37" s="42" t="s">
        <v>131</v>
      </c>
      <c r="E37" s="39" t="s">
        <v>134</v>
      </c>
      <c r="F37" s="26" t="s">
        <v>129</v>
      </c>
      <c r="G37" s="26"/>
      <c r="H37" s="26"/>
      <c r="I37" s="26"/>
      <c r="J37" s="26"/>
      <c r="K37" s="26"/>
      <c r="L37" s="93"/>
      <c r="M37" s="93"/>
      <c r="N37" s="134">
        <f>($U$3*O37)*(100%+Q37)</f>
        <v>0</v>
      </c>
      <c r="O37" s="132">
        <f>(P37*(100%+R37))</f>
        <v>17.955000000000002</v>
      </c>
      <c r="P37" s="218">
        <f>P36</f>
        <v>17.100000000000001</v>
      </c>
      <c r="Q37" s="126">
        <v>0.75</v>
      </c>
      <c r="R37" s="136">
        <v>0.05</v>
      </c>
      <c r="S37" s="373" t="s">
        <v>820</v>
      </c>
    </row>
    <row r="38" spans="1:19" ht="12.45" customHeight="1" x14ac:dyDescent="0.35">
      <c r="B38" s="83">
        <v>2040060058</v>
      </c>
      <c r="C38" s="26"/>
      <c r="D38" s="42" t="s">
        <v>131</v>
      </c>
      <c r="E38" s="39" t="s">
        <v>134</v>
      </c>
      <c r="F38" s="26" t="s">
        <v>130</v>
      </c>
      <c r="G38" s="26"/>
      <c r="H38" s="26"/>
      <c r="I38" s="26"/>
      <c r="J38" s="26"/>
      <c r="K38" s="26"/>
      <c r="L38" s="93"/>
      <c r="M38" s="93"/>
      <c r="N38" s="134">
        <f>($U$3*O38)*(100%+Q38)</f>
        <v>0</v>
      </c>
      <c r="O38" s="132">
        <f>(P38*(100%+R38))</f>
        <v>17.955000000000002</v>
      </c>
      <c r="P38" s="218">
        <f>P36</f>
        <v>17.100000000000001</v>
      </c>
      <c r="Q38" s="126">
        <v>0.75</v>
      </c>
      <c r="R38" s="136">
        <v>0.05</v>
      </c>
      <c r="S38" s="373" t="s">
        <v>820</v>
      </c>
    </row>
    <row r="39" spans="1:19" ht="12.45" customHeight="1" x14ac:dyDescent="0.35">
      <c r="B39" s="83"/>
      <c r="C39" s="26"/>
      <c r="D39" s="42"/>
      <c r="E39" s="39"/>
      <c r="F39" s="26"/>
      <c r="G39" s="26"/>
      <c r="H39" s="26"/>
      <c r="I39" s="26"/>
      <c r="J39" s="26"/>
      <c r="K39" s="26"/>
      <c r="L39" s="93"/>
      <c r="M39" s="93"/>
      <c r="N39" s="131"/>
      <c r="O39" s="132"/>
      <c r="P39" s="218"/>
      <c r="Q39" s="107"/>
      <c r="R39" s="127"/>
      <c r="S39" s="373"/>
    </row>
    <row r="40" spans="1:19" ht="12.45" customHeight="1" x14ac:dyDescent="0.35">
      <c r="B40" s="83">
        <v>2040060059</v>
      </c>
      <c r="C40" s="26"/>
      <c r="D40" s="42" t="s">
        <v>131</v>
      </c>
      <c r="E40" s="39" t="s">
        <v>135</v>
      </c>
      <c r="F40" s="26" t="s">
        <v>127</v>
      </c>
      <c r="G40" s="26"/>
      <c r="H40" s="26"/>
      <c r="I40" s="26"/>
      <c r="J40" s="26"/>
      <c r="K40" s="26"/>
      <c r="L40" s="93"/>
      <c r="M40" s="93"/>
      <c r="N40" s="134">
        <f>($U$3*O40)*(100%+Q40)</f>
        <v>0</v>
      </c>
      <c r="O40" s="132">
        <f>(P40*(100%+R40))</f>
        <v>17.955000000000002</v>
      </c>
      <c r="P40" s="218">
        <f>P36</f>
        <v>17.100000000000001</v>
      </c>
      <c r="Q40" s="126">
        <v>0.75</v>
      </c>
      <c r="R40" s="136">
        <v>0.05</v>
      </c>
      <c r="S40" s="373" t="s">
        <v>820</v>
      </c>
    </row>
    <row r="41" spans="1:19" ht="12.45" customHeight="1" x14ac:dyDescent="0.35">
      <c r="B41" s="83">
        <v>2040060060</v>
      </c>
      <c r="C41" s="26"/>
      <c r="D41" s="42" t="s">
        <v>131</v>
      </c>
      <c r="E41" s="39" t="s">
        <v>135</v>
      </c>
      <c r="F41" s="26" t="s">
        <v>129</v>
      </c>
      <c r="G41" s="26"/>
      <c r="H41" s="26"/>
      <c r="I41" s="26"/>
      <c r="J41" s="26"/>
      <c r="K41" s="26"/>
      <c r="L41" s="93"/>
      <c r="M41" s="93"/>
      <c r="N41" s="134">
        <f>($U$3*O41)*(100%+Q41)</f>
        <v>0</v>
      </c>
      <c r="O41" s="132">
        <f>(P41*(100%+R41))</f>
        <v>17.955000000000002</v>
      </c>
      <c r="P41" s="218">
        <f>P36</f>
        <v>17.100000000000001</v>
      </c>
      <c r="Q41" s="126">
        <v>0.75</v>
      </c>
      <c r="R41" s="136">
        <v>0.05</v>
      </c>
      <c r="S41" s="373" t="s">
        <v>820</v>
      </c>
    </row>
    <row r="42" spans="1:19" ht="12.45" customHeight="1" x14ac:dyDescent="0.35">
      <c r="B42" s="83">
        <v>2040060061</v>
      </c>
      <c r="C42" s="26"/>
      <c r="D42" s="42" t="s">
        <v>131</v>
      </c>
      <c r="E42" s="39" t="s">
        <v>135</v>
      </c>
      <c r="F42" s="26" t="s">
        <v>130</v>
      </c>
      <c r="G42" s="26"/>
      <c r="H42" s="26"/>
      <c r="I42" s="26"/>
      <c r="J42" s="26"/>
      <c r="K42" s="26"/>
      <c r="L42" s="93"/>
      <c r="M42" s="93"/>
      <c r="N42" s="134">
        <f>($U$3*O42)*(100%+Q42)</f>
        <v>0</v>
      </c>
      <c r="O42" s="132">
        <f>(P42*(100%+R42))</f>
        <v>17.955000000000002</v>
      </c>
      <c r="P42" s="218">
        <f>P36</f>
        <v>17.100000000000001</v>
      </c>
      <c r="Q42" s="126">
        <v>0.75</v>
      </c>
      <c r="R42" s="136">
        <v>0.05</v>
      </c>
      <c r="S42" s="373" t="s">
        <v>820</v>
      </c>
    </row>
    <row r="43" spans="1:19" ht="12.45" customHeight="1" x14ac:dyDescent="0.35">
      <c r="B43" s="83"/>
      <c r="C43" s="26"/>
      <c r="D43" s="42"/>
      <c r="E43" s="39"/>
      <c r="F43" s="26"/>
      <c r="G43" s="26"/>
      <c r="H43" s="26"/>
      <c r="I43" s="26"/>
      <c r="J43" s="26"/>
      <c r="K43" s="26"/>
      <c r="L43" s="93"/>
      <c r="M43" s="93"/>
      <c r="N43" s="131"/>
      <c r="O43" s="132"/>
      <c r="P43" s="218"/>
      <c r="Q43" s="107"/>
      <c r="R43" s="127"/>
      <c r="S43" s="373"/>
    </row>
    <row r="44" spans="1:19" ht="12.45" customHeight="1" x14ac:dyDescent="0.35">
      <c r="B44" s="83">
        <v>2040060097</v>
      </c>
      <c r="C44" s="26"/>
      <c r="D44" s="42" t="s">
        <v>131</v>
      </c>
      <c r="E44" s="39" t="s">
        <v>803</v>
      </c>
      <c r="F44" s="26" t="s">
        <v>129</v>
      </c>
      <c r="G44" s="26"/>
      <c r="H44" s="26"/>
      <c r="I44" s="26"/>
      <c r="J44" s="26"/>
      <c r="K44" s="26"/>
      <c r="L44" s="93"/>
      <c r="M44" s="93"/>
      <c r="N44" s="134">
        <f>($U$3*O44)*(100%+Q44)</f>
        <v>0</v>
      </c>
      <c r="O44" s="132">
        <f>(P44*(100%+R44))</f>
        <v>26.617500000000003</v>
      </c>
      <c r="P44" s="372">
        <v>25.35</v>
      </c>
      <c r="Q44" s="126">
        <v>0.75</v>
      </c>
      <c r="R44" s="136">
        <v>0.05</v>
      </c>
      <c r="S44" s="373" t="s">
        <v>820</v>
      </c>
    </row>
    <row r="45" spans="1:19" ht="7.5" customHeight="1" x14ac:dyDescent="0.35"/>
    <row r="46" spans="1:19" ht="7.5" customHeight="1" x14ac:dyDescent="0.35"/>
    <row r="47" spans="1:19" s="92" customFormat="1" x14ac:dyDescent="0.35">
      <c r="A47" s="19"/>
      <c r="B47" s="17" t="s">
        <v>719</v>
      </c>
      <c r="C47" s="18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24"/>
      <c r="O47" s="125"/>
      <c r="P47" s="325"/>
      <c r="Q47" s="127"/>
      <c r="R47" s="127"/>
    </row>
    <row r="48" spans="1:19" s="117" customFormat="1" ht="12.45" customHeight="1" x14ac:dyDescent="0.35">
      <c r="A48" s="19"/>
      <c r="B48" s="17"/>
      <c r="C48" s="18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24"/>
      <c r="O48" s="125"/>
      <c r="P48" s="18"/>
      <c r="Q48" s="126"/>
      <c r="R48" s="126"/>
    </row>
    <row r="49" spans="1:19" s="117" customFormat="1" ht="12.45" customHeight="1" x14ac:dyDescent="0.35">
      <c r="A49" s="19"/>
      <c r="B49" s="26" t="s">
        <v>27</v>
      </c>
      <c r="C49" s="45"/>
      <c r="D49" s="39"/>
      <c r="E49" s="28"/>
      <c r="F49" s="27" t="s">
        <v>137</v>
      </c>
      <c r="G49" s="27"/>
      <c r="H49" s="27"/>
      <c r="I49" s="27"/>
      <c r="J49" s="27"/>
      <c r="K49" s="27"/>
      <c r="L49" s="27"/>
      <c r="M49" s="23"/>
      <c r="N49" s="131" t="s">
        <v>77</v>
      </c>
      <c r="O49" s="132"/>
      <c r="P49" s="42" t="s">
        <v>90</v>
      </c>
      <c r="Q49" s="108" t="s">
        <v>39</v>
      </c>
      <c r="R49" s="133" t="s">
        <v>40</v>
      </c>
    </row>
    <row r="50" spans="1:19" s="117" customFormat="1" ht="12.45" customHeight="1" x14ac:dyDescent="0.35">
      <c r="A50" s="26"/>
      <c r="B50" s="83">
        <v>2040060062</v>
      </c>
      <c r="C50" s="26"/>
      <c r="D50" s="42"/>
      <c r="E50" s="39"/>
      <c r="F50" s="26" t="s">
        <v>127</v>
      </c>
      <c r="G50" s="26"/>
      <c r="H50" s="26"/>
      <c r="I50" s="26"/>
      <c r="J50" s="26"/>
      <c r="K50" s="26"/>
      <c r="L50" s="93"/>
      <c r="M50" s="93"/>
      <c r="N50" s="134">
        <f>($U$3*O50)*(100%+Q50)</f>
        <v>0</v>
      </c>
      <c r="O50" s="132">
        <f>(P50*(100%+R50))</f>
        <v>14.805</v>
      </c>
      <c r="P50" s="320">
        <v>14.1</v>
      </c>
      <c r="Q50" s="126">
        <v>0.75</v>
      </c>
      <c r="R50" s="136">
        <v>0.05</v>
      </c>
      <c r="S50" s="373" t="s">
        <v>821</v>
      </c>
    </row>
    <row r="51" spans="1:19" s="120" customFormat="1" ht="12.45" customHeight="1" x14ac:dyDescent="0.35">
      <c r="B51" s="83">
        <v>2040060063</v>
      </c>
      <c r="C51" s="26"/>
      <c r="D51" s="42"/>
      <c r="E51" s="39"/>
      <c r="F51" s="26" t="s">
        <v>129</v>
      </c>
      <c r="G51" s="26"/>
      <c r="H51" s="26"/>
      <c r="I51" s="26"/>
      <c r="J51" s="26"/>
      <c r="K51" s="26"/>
      <c r="L51" s="93"/>
      <c r="M51" s="93"/>
      <c r="N51" s="134">
        <f>($U$3*O51)*(100%+Q51)</f>
        <v>0</v>
      </c>
      <c r="O51" s="132">
        <f>(P51*(100%+R51))</f>
        <v>14.805</v>
      </c>
      <c r="P51" s="218">
        <f>P50</f>
        <v>14.1</v>
      </c>
      <c r="Q51" s="126">
        <v>0.75</v>
      </c>
      <c r="R51" s="136">
        <v>0.05</v>
      </c>
      <c r="S51" s="373" t="s">
        <v>821</v>
      </c>
    </row>
    <row r="52" spans="1:19" ht="12.45" customHeight="1" x14ac:dyDescent="0.35">
      <c r="B52" s="83">
        <v>2040060064</v>
      </c>
      <c r="C52" s="26"/>
      <c r="D52" s="42"/>
      <c r="E52" s="39"/>
      <c r="F52" s="26" t="s">
        <v>130</v>
      </c>
      <c r="G52" s="26"/>
      <c r="H52" s="26"/>
      <c r="I52" s="26"/>
      <c r="J52" s="26"/>
      <c r="K52" s="26"/>
      <c r="L52" s="93"/>
      <c r="M52" s="93"/>
      <c r="N52" s="134">
        <f>($U$3*O52)*(100%+Q52)</f>
        <v>0</v>
      </c>
      <c r="O52" s="132">
        <f>(P52*(100%+R52))</f>
        <v>14.805</v>
      </c>
      <c r="P52" s="218">
        <f>P51</f>
        <v>14.1</v>
      </c>
      <c r="Q52" s="126">
        <v>0.75</v>
      </c>
      <c r="R52" s="136">
        <v>0.05</v>
      </c>
      <c r="S52" s="373" t="s">
        <v>821</v>
      </c>
    </row>
    <row r="53" spans="1:19" ht="7.5" customHeight="1" x14ac:dyDescent="0.35"/>
    <row r="54" spans="1:19" ht="7.5" customHeight="1" x14ac:dyDescent="0.35"/>
    <row r="55" spans="1:19" s="92" customFormat="1" x14ac:dyDescent="0.35">
      <c r="A55" s="19"/>
      <c r="B55" s="17" t="s">
        <v>136</v>
      </c>
      <c r="C55" s="18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24"/>
      <c r="O55" s="125"/>
      <c r="P55" s="325"/>
      <c r="Q55" s="127"/>
      <c r="R55" s="127"/>
    </row>
    <row r="56" spans="1:19" s="117" customFormat="1" ht="12.45" customHeight="1" x14ac:dyDescent="0.35">
      <c r="A56" s="19"/>
      <c r="B56" s="17"/>
      <c r="C56" s="18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24"/>
      <c r="O56" s="125"/>
      <c r="P56" s="18"/>
      <c r="Q56" s="126"/>
      <c r="R56" s="126"/>
    </row>
    <row r="57" spans="1:19" s="117" customFormat="1" ht="12.45" customHeight="1" x14ac:dyDescent="0.35">
      <c r="A57" s="19"/>
      <c r="B57" s="26" t="s">
        <v>27</v>
      </c>
      <c r="C57" s="45"/>
      <c r="D57" s="39" t="s">
        <v>125</v>
      </c>
      <c r="E57" s="28"/>
      <c r="F57" s="27" t="s">
        <v>137</v>
      </c>
      <c r="G57" s="27"/>
      <c r="H57" s="27"/>
      <c r="I57" s="27"/>
      <c r="J57" s="27"/>
      <c r="K57" s="27"/>
      <c r="L57" s="27"/>
      <c r="M57" s="23"/>
      <c r="N57" s="131" t="s">
        <v>77</v>
      </c>
      <c r="O57" s="132"/>
      <c r="P57" s="42" t="s">
        <v>90</v>
      </c>
      <c r="Q57" s="108" t="s">
        <v>39</v>
      </c>
      <c r="R57" s="133" t="s">
        <v>40</v>
      </c>
    </row>
    <row r="58" spans="1:19" s="117" customFormat="1" ht="12.45" customHeight="1" x14ac:dyDescent="0.35">
      <c r="A58" s="26"/>
      <c r="B58" s="83">
        <v>2040060065</v>
      </c>
      <c r="C58" s="26"/>
      <c r="D58" s="42" t="s">
        <v>114</v>
      </c>
      <c r="E58" s="39"/>
      <c r="F58" s="26" t="s">
        <v>127</v>
      </c>
      <c r="G58" s="26"/>
      <c r="H58" s="26"/>
      <c r="I58" s="26"/>
      <c r="J58" s="26"/>
      <c r="K58" s="26"/>
      <c r="L58" s="93"/>
      <c r="M58" s="93"/>
      <c r="N58" s="134">
        <f>($U$3*O58)*(100%+Q58)</f>
        <v>0</v>
      </c>
      <c r="O58" s="132">
        <f>(P58*(100%+R58))</f>
        <v>7.665</v>
      </c>
      <c r="P58" s="320">
        <v>7.3</v>
      </c>
      <c r="Q58" s="126">
        <v>0.85</v>
      </c>
      <c r="R58" s="136">
        <v>0.05</v>
      </c>
      <c r="S58" s="373" t="s">
        <v>821</v>
      </c>
    </row>
    <row r="59" spans="1:19" s="120" customFormat="1" ht="12.45" customHeight="1" x14ac:dyDescent="0.35">
      <c r="B59" s="83">
        <v>2040060066</v>
      </c>
      <c r="C59" s="26"/>
      <c r="D59" s="42" t="s">
        <v>114</v>
      </c>
      <c r="E59" s="39"/>
      <c r="F59" s="26" t="s">
        <v>129</v>
      </c>
      <c r="G59" s="26"/>
      <c r="H59" s="26"/>
      <c r="I59" s="26"/>
      <c r="J59" s="26"/>
      <c r="K59" s="26"/>
      <c r="L59" s="93"/>
      <c r="M59" s="93"/>
      <c r="N59" s="134">
        <f>($U$3*O59)*(100%+Q59)</f>
        <v>0</v>
      </c>
      <c r="O59" s="132">
        <f>(P59*(100%+R59))</f>
        <v>7.665</v>
      </c>
      <c r="P59" s="218">
        <f>P58</f>
        <v>7.3</v>
      </c>
      <c r="Q59" s="126">
        <v>0.85</v>
      </c>
      <c r="R59" s="136">
        <v>0.05</v>
      </c>
      <c r="S59" s="373" t="s">
        <v>821</v>
      </c>
    </row>
    <row r="60" spans="1:19" ht="12.45" customHeight="1" x14ac:dyDescent="0.35">
      <c r="B60" s="83">
        <v>2040060067</v>
      </c>
      <c r="C60" s="26"/>
      <c r="D60" s="42" t="s">
        <v>114</v>
      </c>
      <c r="E60" s="39"/>
      <c r="F60" s="26" t="s">
        <v>130</v>
      </c>
      <c r="G60" s="26"/>
      <c r="H60" s="26"/>
      <c r="I60" s="26"/>
      <c r="J60" s="26"/>
      <c r="K60" s="26"/>
      <c r="L60" s="93"/>
      <c r="M60" s="93"/>
      <c r="N60" s="134">
        <f>($U$3*O60)*(100%+Q60)</f>
        <v>0</v>
      </c>
      <c r="O60" s="132">
        <f>(P60*(100%+R60))</f>
        <v>7.665</v>
      </c>
      <c r="P60" s="218">
        <f>P59</f>
        <v>7.3</v>
      </c>
      <c r="Q60" s="126">
        <v>0.85</v>
      </c>
      <c r="R60" s="136">
        <v>0.05</v>
      </c>
      <c r="S60" s="373" t="s">
        <v>821</v>
      </c>
    </row>
    <row r="61" spans="1:19" ht="7.5" customHeight="1" x14ac:dyDescent="0.35">
      <c r="B61" s="39"/>
      <c r="C61" s="26"/>
      <c r="D61" s="42"/>
      <c r="E61" s="39"/>
      <c r="F61" s="26"/>
      <c r="G61" s="26"/>
      <c r="H61" s="26"/>
      <c r="I61" s="26"/>
      <c r="J61" s="26"/>
      <c r="K61" s="26"/>
      <c r="L61" s="93"/>
      <c r="M61" s="93"/>
      <c r="N61" s="131"/>
      <c r="O61" s="132"/>
      <c r="P61" s="218"/>
      <c r="R61" s="136"/>
    </row>
    <row r="62" spans="1:19" ht="13.2" customHeight="1" x14ac:dyDescent="0.35"/>
    <row r="63" spans="1:19" s="92" customFormat="1" x14ac:dyDescent="0.35">
      <c r="A63" s="19"/>
      <c r="B63" s="17" t="s">
        <v>139</v>
      </c>
      <c r="C63" s="18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24"/>
      <c r="O63" s="125"/>
      <c r="P63" s="325"/>
      <c r="Q63" s="127"/>
      <c r="R63" s="127"/>
    </row>
    <row r="64" spans="1:19" s="117" customFormat="1" ht="12.45" customHeight="1" x14ac:dyDescent="0.35">
      <c r="A64" s="19"/>
      <c r="B64" s="17"/>
      <c r="C64" s="18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24"/>
      <c r="O64" s="125"/>
      <c r="P64" s="18"/>
      <c r="Q64" s="126"/>
      <c r="R64" s="126"/>
    </row>
    <row r="65" spans="1:19" s="117" customFormat="1" ht="12.45" customHeight="1" x14ac:dyDescent="0.35">
      <c r="A65" s="19"/>
      <c r="B65" s="26" t="s">
        <v>27</v>
      </c>
      <c r="C65" s="45"/>
      <c r="D65" s="39"/>
      <c r="E65" s="28"/>
      <c r="F65" s="27" t="s">
        <v>137</v>
      </c>
      <c r="G65" s="27"/>
      <c r="H65" s="27"/>
      <c r="I65" s="27"/>
      <c r="J65" s="27"/>
      <c r="K65" s="27"/>
      <c r="L65" s="27"/>
      <c r="M65" s="23"/>
      <c r="N65" s="131" t="s">
        <v>77</v>
      </c>
      <c r="O65" s="132"/>
      <c r="P65" s="42" t="s">
        <v>90</v>
      </c>
      <c r="Q65" s="108" t="s">
        <v>39</v>
      </c>
      <c r="R65" s="133" t="s">
        <v>40</v>
      </c>
    </row>
    <row r="66" spans="1:19" s="117" customFormat="1" ht="12.45" customHeight="1" x14ac:dyDescent="0.35">
      <c r="A66" s="26"/>
      <c r="B66" s="83">
        <v>2040060068</v>
      </c>
      <c r="C66" s="26"/>
      <c r="D66" s="42"/>
      <c r="E66" s="39"/>
      <c r="F66" s="26" t="s">
        <v>127</v>
      </c>
      <c r="G66" s="26"/>
      <c r="H66" s="26"/>
      <c r="I66" s="26"/>
      <c r="J66" s="26"/>
      <c r="K66" s="26"/>
      <c r="L66" s="93"/>
      <c r="M66" s="93"/>
      <c r="N66" s="134">
        <f>($U$3*O66)*(100%+Q66)</f>
        <v>0</v>
      </c>
      <c r="O66" s="132">
        <f>(P66*(100%+R66))</f>
        <v>13.23</v>
      </c>
      <c r="P66" s="320">
        <v>12.6</v>
      </c>
      <c r="Q66" s="126">
        <v>1</v>
      </c>
      <c r="R66" s="136">
        <v>0.05</v>
      </c>
      <c r="S66" s="373" t="s">
        <v>821</v>
      </c>
    </row>
    <row r="67" spans="1:19" s="120" customFormat="1" ht="12.45" customHeight="1" x14ac:dyDescent="0.35">
      <c r="B67" s="83">
        <v>2040060069</v>
      </c>
      <c r="C67" s="26"/>
      <c r="D67" s="42"/>
      <c r="E67" s="39"/>
      <c r="F67" s="26" t="s">
        <v>129</v>
      </c>
      <c r="G67" s="26"/>
      <c r="H67" s="26"/>
      <c r="I67" s="26"/>
      <c r="J67" s="26"/>
      <c r="K67" s="26"/>
      <c r="L67" s="93"/>
      <c r="M67" s="93"/>
      <c r="N67" s="134">
        <f>($U$3*O67)*(100%+Q67)</f>
        <v>0</v>
      </c>
      <c r="O67" s="132">
        <f>(P67*(100%+R67))</f>
        <v>13.23</v>
      </c>
      <c r="P67" s="218">
        <f>P66</f>
        <v>12.6</v>
      </c>
      <c r="Q67" s="126">
        <v>1</v>
      </c>
      <c r="R67" s="136">
        <v>0.05</v>
      </c>
      <c r="S67" s="373" t="s">
        <v>821</v>
      </c>
    </row>
    <row r="68" spans="1:19" ht="12.45" customHeight="1" x14ac:dyDescent="0.35">
      <c r="B68" s="83">
        <v>2040060070</v>
      </c>
      <c r="C68" s="26"/>
      <c r="D68" s="42"/>
      <c r="E68" s="39"/>
      <c r="F68" s="26" t="s">
        <v>130</v>
      </c>
      <c r="G68" s="26"/>
      <c r="H68" s="26"/>
      <c r="I68" s="26"/>
      <c r="J68" s="26"/>
      <c r="K68" s="26"/>
      <c r="L68" s="93"/>
      <c r="M68" s="93"/>
      <c r="N68" s="134">
        <f>($U$3*O68)*(100%+Q68)</f>
        <v>0</v>
      </c>
      <c r="O68" s="132">
        <f>(P68*(100%+R68))</f>
        <v>13.23</v>
      </c>
      <c r="P68" s="218">
        <f>P67</f>
        <v>12.6</v>
      </c>
      <c r="Q68" s="126">
        <v>1</v>
      </c>
      <c r="R68" s="136">
        <v>0.05</v>
      </c>
      <c r="S68" s="373" t="s">
        <v>821</v>
      </c>
    </row>
    <row r="71" spans="1:19" s="92" customFormat="1" x14ac:dyDescent="0.35">
      <c r="A71" s="19"/>
      <c r="B71" s="17" t="s">
        <v>140</v>
      </c>
      <c r="C71" s="18"/>
      <c r="D71" s="19"/>
      <c r="E71" s="19"/>
      <c r="F71" s="19"/>
      <c r="G71" s="19"/>
      <c r="H71" s="19"/>
      <c r="I71" s="19"/>
      <c r="J71" s="19"/>
      <c r="K71" s="42"/>
      <c r="L71" s="19"/>
      <c r="M71" s="19"/>
      <c r="N71" s="131" t="s">
        <v>142</v>
      </c>
      <c r="O71" s="125"/>
      <c r="P71" s="325"/>
      <c r="Q71" s="127"/>
      <c r="R71" s="127"/>
    </row>
    <row r="72" spans="1:19" s="117" customFormat="1" ht="12.45" customHeight="1" x14ac:dyDescent="0.35">
      <c r="A72" s="19"/>
      <c r="B72" s="17"/>
      <c r="C72" s="18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24"/>
      <c r="O72" s="125"/>
      <c r="P72" s="18"/>
      <c r="Q72" s="126"/>
      <c r="R72" s="126"/>
    </row>
    <row r="73" spans="1:19" s="117" customFormat="1" ht="12.45" customHeight="1" x14ac:dyDescent="0.35">
      <c r="A73" s="19"/>
      <c r="B73" s="26" t="s">
        <v>27</v>
      </c>
      <c r="C73" s="45"/>
      <c r="D73" s="39"/>
      <c r="E73" s="28"/>
      <c r="F73" s="27" t="s">
        <v>137</v>
      </c>
      <c r="G73" s="27"/>
      <c r="H73" s="27"/>
      <c r="I73" s="27"/>
      <c r="J73" s="27"/>
      <c r="K73" s="27"/>
      <c r="L73" s="27"/>
      <c r="M73" s="23"/>
      <c r="N73" s="131" t="s">
        <v>77</v>
      </c>
      <c r="O73" s="132"/>
      <c r="P73" s="42" t="s">
        <v>90</v>
      </c>
      <c r="Q73" s="108" t="s">
        <v>39</v>
      </c>
      <c r="R73" s="133" t="s">
        <v>40</v>
      </c>
    </row>
    <row r="74" spans="1:19" s="117" customFormat="1" ht="12.45" customHeight="1" x14ac:dyDescent="0.35">
      <c r="A74" s="26"/>
      <c r="B74" s="83">
        <v>2040060071</v>
      </c>
      <c r="C74" s="26"/>
      <c r="D74" s="42"/>
      <c r="E74" s="39"/>
      <c r="F74" s="26" t="s">
        <v>127</v>
      </c>
      <c r="G74" s="26"/>
      <c r="H74" s="26"/>
      <c r="I74" s="26"/>
      <c r="J74" s="26"/>
      <c r="K74" s="26"/>
      <c r="L74" s="93"/>
      <c r="M74" s="93"/>
      <c r="N74" s="134">
        <f>($U$3*O74)*(100%+Q74)</f>
        <v>0</v>
      </c>
      <c r="O74" s="132">
        <f>(P74*(100%+R74))</f>
        <v>13.23</v>
      </c>
      <c r="P74" s="320">
        <v>12.6</v>
      </c>
      <c r="Q74" s="126">
        <v>1.1399999999999999</v>
      </c>
      <c r="R74" s="136">
        <v>0.05</v>
      </c>
    </row>
    <row r="75" spans="1:19" s="120" customFormat="1" ht="12.45" customHeight="1" x14ac:dyDescent="0.35">
      <c r="B75" s="83">
        <v>2040060072</v>
      </c>
      <c r="C75" s="26"/>
      <c r="D75" s="42"/>
      <c r="E75" s="39"/>
      <c r="F75" s="26" t="s">
        <v>129</v>
      </c>
      <c r="G75" s="26"/>
      <c r="H75" s="26"/>
      <c r="I75" s="26"/>
      <c r="J75" s="26"/>
      <c r="K75" s="26"/>
      <c r="L75" s="93"/>
      <c r="M75" s="93"/>
      <c r="N75" s="134">
        <f>($U$3*O75)*(100%+Q75)</f>
        <v>0</v>
      </c>
      <c r="O75" s="132">
        <f>(P75*(100%+R75))</f>
        <v>13.23</v>
      </c>
      <c r="P75" s="218">
        <f>P74</f>
        <v>12.6</v>
      </c>
      <c r="Q75" s="126">
        <v>1.1399999999999999</v>
      </c>
      <c r="R75" s="136">
        <v>0.05</v>
      </c>
    </row>
    <row r="76" spans="1:19" ht="12.45" customHeight="1" x14ac:dyDescent="0.35">
      <c r="B76" s="83">
        <v>2040060073</v>
      </c>
      <c r="C76" s="26"/>
      <c r="D76" s="42"/>
      <c r="E76" s="39"/>
      <c r="F76" s="26" t="s">
        <v>130</v>
      </c>
      <c r="G76" s="26"/>
      <c r="H76" s="26"/>
      <c r="I76" s="26"/>
      <c r="J76" s="26"/>
      <c r="K76" s="26"/>
      <c r="L76" s="93"/>
      <c r="M76" s="93"/>
      <c r="N76" s="134">
        <f>($U$3*O76)*(100%+Q76)</f>
        <v>0</v>
      </c>
      <c r="O76" s="132">
        <f>(P76*(100%+R76))</f>
        <v>13.23</v>
      </c>
      <c r="P76" s="218">
        <f>P75</f>
        <v>12.6</v>
      </c>
      <c r="Q76" s="126">
        <v>1.1399999999999999</v>
      </c>
      <c r="R76" s="136">
        <v>0.05</v>
      </c>
    </row>
    <row r="79" spans="1:19" s="92" customFormat="1" x14ac:dyDescent="0.35">
      <c r="A79" s="19"/>
      <c r="B79" s="17" t="s">
        <v>720</v>
      </c>
      <c r="C79" s="18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24"/>
      <c r="O79" s="125"/>
      <c r="P79" s="325"/>
      <c r="Q79" s="127"/>
      <c r="R79" s="127"/>
    </row>
    <row r="80" spans="1:19" s="117" customFormat="1" ht="12.45" customHeight="1" x14ac:dyDescent="0.35">
      <c r="A80" s="19"/>
      <c r="B80" s="17"/>
      <c r="C80" s="18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24"/>
      <c r="O80" s="125"/>
      <c r="P80" s="18"/>
      <c r="Q80" s="126"/>
      <c r="R80" s="126"/>
    </row>
    <row r="81" spans="1:18" s="117" customFormat="1" ht="12.45" customHeight="1" x14ac:dyDescent="0.35">
      <c r="A81" s="19"/>
      <c r="B81" s="26" t="s">
        <v>27</v>
      </c>
      <c r="C81" s="45"/>
      <c r="D81" s="39"/>
      <c r="E81" s="28"/>
      <c r="F81" s="27" t="s">
        <v>137</v>
      </c>
      <c r="G81" s="27"/>
      <c r="H81" s="27"/>
      <c r="I81" s="27"/>
      <c r="J81" s="27"/>
      <c r="K81" s="27"/>
      <c r="L81" s="27"/>
      <c r="M81" s="23"/>
      <c r="N81" s="131" t="s">
        <v>77</v>
      </c>
      <c r="O81" s="132"/>
      <c r="P81" s="42" t="s">
        <v>90</v>
      </c>
      <c r="Q81" s="108" t="s">
        <v>39</v>
      </c>
      <c r="R81" s="133" t="s">
        <v>40</v>
      </c>
    </row>
    <row r="82" spans="1:18" s="117" customFormat="1" ht="12.45" customHeight="1" x14ac:dyDescent="0.35">
      <c r="A82" s="26"/>
      <c r="B82" s="83">
        <v>2040060074</v>
      </c>
      <c r="C82" s="26"/>
      <c r="D82" s="39" t="s">
        <v>141</v>
      </c>
      <c r="E82" s="39"/>
      <c r="F82" s="26" t="s">
        <v>127</v>
      </c>
      <c r="G82" s="26"/>
      <c r="H82" s="26"/>
      <c r="I82" s="26"/>
      <c r="J82" s="26"/>
      <c r="K82" s="26"/>
      <c r="L82" s="93"/>
      <c r="M82" s="93"/>
      <c r="N82" s="134">
        <f>($U$3*O82)*(100%+Q82)</f>
        <v>0</v>
      </c>
      <c r="O82" s="132">
        <f>(P82*(100%+R82))</f>
        <v>20.002500000000001</v>
      </c>
      <c r="P82" s="320">
        <v>19.05</v>
      </c>
      <c r="Q82" s="126">
        <v>1.25</v>
      </c>
      <c r="R82" s="136">
        <v>0.05</v>
      </c>
    </row>
    <row r="83" spans="1:18" s="120" customFormat="1" ht="12.45" customHeight="1" x14ac:dyDescent="0.35">
      <c r="B83" s="83">
        <v>2040060075</v>
      </c>
      <c r="C83" s="26"/>
      <c r="D83" s="39" t="s">
        <v>141</v>
      </c>
      <c r="E83" s="39"/>
      <c r="F83" s="26" t="s">
        <v>129</v>
      </c>
      <c r="G83" s="26"/>
      <c r="H83" s="26"/>
      <c r="I83" s="26"/>
      <c r="J83" s="26"/>
      <c r="K83" s="26"/>
      <c r="L83" s="93"/>
      <c r="M83" s="93"/>
      <c r="N83" s="134">
        <f>($U$3*O83)*(100%+Q83)</f>
        <v>0</v>
      </c>
      <c r="O83" s="132">
        <f>(P83*(100%+R83))</f>
        <v>20.002500000000001</v>
      </c>
      <c r="P83" s="218">
        <f>P82</f>
        <v>19.05</v>
      </c>
      <c r="Q83" s="126">
        <v>1.25</v>
      </c>
      <c r="R83" s="136">
        <v>0.05</v>
      </c>
    </row>
    <row r="84" spans="1:18" ht="12.45" customHeight="1" x14ac:dyDescent="0.35">
      <c r="B84" s="83">
        <v>2040060076</v>
      </c>
      <c r="C84" s="26"/>
      <c r="D84" s="39" t="s">
        <v>141</v>
      </c>
      <c r="E84" s="39"/>
      <c r="F84" s="26" t="s">
        <v>130</v>
      </c>
      <c r="G84" s="26"/>
      <c r="H84" s="26"/>
      <c r="I84" s="26"/>
      <c r="J84" s="26"/>
      <c r="K84" s="26"/>
      <c r="L84" s="93"/>
      <c r="M84" s="93"/>
      <c r="N84" s="134">
        <f>($U$3*O84)*(100%+Q84)</f>
        <v>0</v>
      </c>
      <c r="O84" s="132">
        <f>(P84*(100%+R84))</f>
        <v>20.002500000000001</v>
      </c>
      <c r="P84" s="218">
        <f>P83</f>
        <v>19.05</v>
      </c>
      <c r="Q84" s="126">
        <v>1.25</v>
      </c>
      <c r="R84" s="136">
        <v>0.05</v>
      </c>
    </row>
    <row r="87" spans="1:18" s="92" customFormat="1" x14ac:dyDescent="0.35">
      <c r="A87" s="19"/>
      <c r="B87" s="17" t="s">
        <v>721</v>
      </c>
      <c r="C87" s="18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24"/>
      <c r="O87" s="125"/>
      <c r="P87" s="325"/>
      <c r="Q87" s="127"/>
      <c r="R87" s="127"/>
    </row>
    <row r="88" spans="1:18" s="117" customFormat="1" ht="12.45" customHeight="1" x14ac:dyDescent="0.35">
      <c r="A88" s="19"/>
      <c r="B88" s="17"/>
      <c r="C88" s="18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24"/>
      <c r="O88" s="125"/>
      <c r="P88" s="18"/>
      <c r="Q88" s="126"/>
      <c r="R88" s="126"/>
    </row>
    <row r="89" spans="1:18" s="117" customFormat="1" ht="12.45" customHeight="1" x14ac:dyDescent="0.35">
      <c r="A89" s="19"/>
      <c r="B89" s="26" t="s">
        <v>27</v>
      </c>
      <c r="C89" s="45"/>
      <c r="D89" s="39" t="s">
        <v>144</v>
      </c>
      <c r="E89" s="27" t="s">
        <v>138</v>
      </c>
      <c r="F89" s="27" t="s">
        <v>137</v>
      </c>
      <c r="G89" s="27"/>
      <c r="H89" s="27"/>
      <c r="I89" s="27"/>
      <c r="J89" s="27"/>
      <c r="K89" s="27"/>
      <c r="L89" s="27"/>
      <c r="M89" s="23"/>
      <c r="N89" s="131" t="s">
        <v>77</v>
      </c>
      <c r="O89" s="132"/>
      <c r="P89" s="42" t="s">
        <v>90</v>
      </c>
      <c r="Q89" s="108" t="s">
        <v>39</v>
      </c>
      <c r="R89" s="133" t="s">
        <v>40</v>
      </c>
    </row>
    <row r="90" spans="1:18" s="117" customFormat="1" ht="12.45" customHeight="1" x14ac:dyDescent="0.35">
      <c r="A90" s="26"/>
      <c r="B90" s="83">
        <v>2040060001</v>
      </c>
      <c r="C90" s="26"/>
      <c r="D90" s="39" t="s">
        <v>143</v>
      </c>
      <c r="E90" s="39" t="s">
        <v>132</v>
      </c>
      <c r="F90" s="26" t="s">
        <v>127</v>
      </c>
      <c r="G90" s="26"/>
      <c r="H90" s="26"/>
      <c r="I90" s="26"/>
      <c r="J90" s="26"/>
      <c r="K90" s="26"/>
      <c r="L90" s="93"/>
      <c r="M90" s="93"/>
      <c r="N90" s="134">
        <f>($U$3*O90)*(100%+Q90)</f>
        <v>0</v>
      </c>
      <c r="O90" s="132">
        <f>(P90*(100%+R90))</f>
        <v>9.4500000000000011</v>
      </c>
      <c r="P90" s="320">
        <v>9</v>
      </c>
      <c r="Q90" s="126">
        <v>0.98</v>
      </c>
      <c r="R90" s="136">
        <v>0.05</v>
      </c>
    </row>
    <row r="91" spans="1:18" s="120" customFormat="1" ht="12.45" customHeight="1" x14ac:dyDescent="0.35">
      <c r="B91" s="83">
        <v>2040060040</v>
      </c>
      <c r="C91" s="26"/>
      <c r="D91" s="39" t="s">
        <v>143</v>
      </c>
      <c r="E91" s="39" t="s">
        <v>132</v>
      </c>
      <c r="F91" s="26" t="s">
        <v>129</v>
      </c>
      <c r="G91" s="26"/>
      <c r="H91" s="26"/>
      <c r="I91" s="26"/>
      <c r="J91" s="26"/>
      <c r="K91" s="26"/>
      <c r="L91" s="93"/>
      <c r="M91" s="93"/>
      <c r="N91" s="134">
        <f>($U$3*O91)*(100%+Q91)</f>
        <v>0</v>
      </c>
      <c r="O91" s="132">
        <f>(P91*(100%+R91))</f>
        <v>9.4500000000000011</v>
      </c>
      <c r="P91" s="218">
        <f>P90</f>
        <v>9</v>
      </c>
      <c r="Q91" s="126">
        <v>0.98</v>
      </c>
      <c r="R91" s="136">
        <v>0.05</v>
      </c>
    </row>
    <row r="92" spans="1:18" ht="12.45" customHeight="1" x14ac:dyDescent="0.35">
      <c r="B92" s="83">
        <v>2040060003</v>
      </c>
      <c r="C92" s="26"/>
      <c r="D92" s="39" t="s">
        <v>143</v>
      </c>
      <c r="E92" s="39" t="s">
        <v>132</v>
      </c>
      <c r="F92" s="26" t="s">
        <v>130</v>
      </c>
      <c r="G92" s="26"/>
      <c r="H92" s="26"/>
      <c r="I92" s="26"/>
      <c r="J92" s="26"/>
      <c r="K92" s="26"/>
      <c r="L92" s="93"/>
      <c r="M92" s="93"/>
      <c r="N92" s="134">
        <f>($U$3*O92)*(100%+Q92)</f>
        <v>0</v>
      </c>
      <c r="O92" s="132">
        <f>(P92*(100%+R92))</f>
        <v>9.4500000000000011</v>
      </c>
      <c r="P92" s="218">
        <f>P91</f>
        <v>9</v>
      </c>
      <c r="Q92" s="126">
        <v>0.98</v>
      </c>
      <c r="R92" s="136">
        <v>0.05</v>
      </c>
    </row>
    <row r="93" spans="1:18" ht="12.45" customHeight="1" x14ac:dyDescent="0.35">
      <c r="B93" s="83"/>
      <c r="C93" s="26"/>
      <c r="D93" s="39"/>
      <c r="E93" s="39"/>
      <c r="F93" s="26"/>
      <c r="G93" s="26"/>
      <c r="H93" s="26"/>
      <c r="I93" s="26"/>
      <c r="J93" s="26"/>
      <c r="K93" s="26"/>
      <c r="L93" s="93"/>
      <c r="M93" s="93"/>
      <c r="N93" s="131"/>
      <c r="O93" s="132"/>
      <c r="P93" s="218"/>
      <c r="Q93" s="107"/>
      <c r="R93" s="127"/>
    </row>
    <row r="94" spans="1:18" s="117" customFormat="1" ht="12.45" customHeight="1" x14ac:dyDescent="0.35">
      <c r="A94" s="26"/>
      <c r="B94" s="83">
        <v>2040060004</v>
      </c>
      <c r="C94" s="26"/>
      <c r="D94" s="39" t="s">
        <v>146</v>
      </c>
      <c r="E94" s="39" t="s">
        <v>145</v>
      </c>
      <c r="F94" s="26" t="s">
        <v>127</v>
      </c>
      <c r="G94" s="26"/>
      <c r="H94" s="26"/>
      <c r="I94" s="26"/>
      <c r="J94" s="26"/>
      <c r="K94" s="26"/>
      <c r="L94" s="93"/>
      <c r="M94" s="93"/>
      <c r="N94" s="134">
        <f>($U$3*O94)*(100%+Q94)</f>
        <v>0</v>
      </c>
      <c r="O94" s="132">
        <f>(P94*(100%+R94))</f>
        <v>9.4500000000000011</v>
      </c>
      <c r="P94" s="320">
        <v>9</v>
      </c>
      <c r="Q94" s="126">
        <v>0.98</v>
      </c>
      <c r="R94" s="136">
        <v>0.05</v>
      </c>
    </row>
    <row r="95" spans="1:18" s="120" customFormat="1" ht="12.45" customHeight="1" x14ac:dyDescent="0.35">
      <c r="B95" s="83">
        <v>2040060041</v>
      </c>
      <c r="C95" s="26"/>
      <c r="D95" s="39" t="s">
        <v>146</v>
      </c>
      <c r="E95" s="39" t="s">
        <v>145</v>
      </c>
      <c r="F95" s="26" t="s">
        <v>129</v>
      </c>
      <c r="G95" s="26"/>
      <c r="H95" s="26"/>
      <c r="I95" s="26"/>
      <c r="J95" s="26"/>
      <c r="K95" s="26"/>
      <c r="L95" s="93"/>
      <c r="M95" s="93"/>
      <c r="N95" s="134">
        <f>($U$3*O95)*(100%+Q95)</f>
        <v>0</v>
      </c>
      <c r="O95" s="132">
        <f>(P95*(100%+R95))</f>
        <v>9.4500000000000011</v>
      </c>
      <c r="P95" s="218">
        <f>P94</f>
        <v>9</v>
      </c>
      <c r="Q95" s="126">
        <v>0.98</v>
      </c>
      <c r="R95" s="136">
        <v>0.05</v>
      </c>
    </row>
    <row r="96" spans="1:18" ht="12.45" customHeight="1" x14ac:dyDescent="0.35">
      <c r="B96" s="83">
        <v>2040060007</v>
      </c>
      <c r="C96" s="26"/>
      <c r="D96" s="39" t="s">
        <v>146</v>
      </c>
      <c r="E96" s="39" t="s">
        <v>145</v>
      </c>
      <c r="F96" s="26" t="s">
        <v>130</v>
      </c>
      <c r="G96" s="26"/>
      <c r="H96" s="26"/>
      <c r="I96" s="26"/>
      <c r="J96" s="26"/>
      <c r="K96" s="26"/>
      <c r="L96" s="93"/>
      <c r="M96" s="93"/>
      <c r="N96" s="134">
        <f>($U$3*O96)*(100%+Q96)</f>
        <v>0</v>
      </c>
      <c r="O96" s="132">
        <f>(P96*(100%+R96))</f>
        <v>9.4500000000000011</v>
      </c>
      <c r="P96" s="218">
        <f>P95</f>
        <v>9</v>
      </c>
      <c r="Q96" s="126">
        <v>0.98</v>
      </c>
      <c r="R96" s="136">
        <v>0.05</v>
      </c>
    </row>
    <row r="99" spans="1:18" s="92" customFormat="1" x14ac:dyDescent="0.35">
      <c r="A99" s="19"/>
      <c r="B99" s="17" t="s">
        <v>722</v>
      </c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24"/>
      <c r="O99" s="125"/>
      <c r="P99" s="325"/>
      <c r="Q99" s="127"/>
      <c r="R99" s="127"/>
    </row>
    <row r="100" spans="1:18" s="117" customFormat="1" ht="12.45" customHeight="1" x14ac:dyDescent="0.35">
      <c r="A100" s="19"/>
      <c r="B100" s="17"/>
      <c r="C100" s="18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24"/>
      <c r="O100" s="125"/>
      <c r="P100" s="18"/>
      <c r="Q100" s="126"/>
      <c r="R100" s="126"/>
    </row>
    <row r="101" spans="1:18" s="117" customFormat="1" ht="12.45" customHeight="1" x14ac:dyDescent="0.35">
      <c r="A101" s="19"/>
      <c r="B101" s="26" t="s">
        <v>27</v>
      </c>
      <c r="C101" s="45"/>
      <c r="D101" s="39" t="s">
        <v>147</v>
      </c>
      <c r="E101" s="27" t="s">
        <v>110</v>
      </c>
      <c r="F101" s="27" t="s">
        <v>137</v>
      </c>
      <c r="G101" s="27"/>
      <c r="H101" s="27"/>
      <c r="I101" s="27"/>
      <c r="J101" s="27"/>
      <c r="K101" s="27"/>
      <c r="L101" s="27"/>
      <c r="M101" s="23"/>
      <c r="N101" s="131" t="s">
        <v>77</v>
      </c>
      <c r="O101" s="132"/>
      <c r="P101" s="42" t="s">
        <v>90</v>
      </c>
      <c r="Q101" s="108" t="s">
        <v>39</v>
      </c>
      <c r="R101" s="133" t="s">
        <v>40</v>
      </c>
    </row>
    <row r="102" spans="1:18" s="117" customFormat="1" ht="12.45" customHeight="1" x14ac:dyDescent="0.35">
      <c r="A102" s="26"/>
      <c r="B102" s="83">
        <v>2040060023</v>
      </c>
      <c r="C102" s="26"/>
      <c r="D102" s="39" t="s">
        <v>115</v>
      </c>
      <c r="E102" s="39" t="s">
        <v>186</v>
      </c>
      <c r="F102" s="26" t="s">
        <v>127</v>
      </c>
      <c r="G102" s="26"/>
      <c r="H102" s="26"/>
      <c r="I102" s="26"/>
      <c r="J102" s="26"/>
      <c r="K102" s="26"/>
      <c r="L102" s="93"/>
      <c r="M102" s="93"/>
      <c r="N102" s="134">
        <f>($U$3*O102)*(100%+Q102)</f>
        <v>0</v>
      </c>
      <c r="O102" s="132">
        <f>(P102*(100%+R102))</f>
        <v>13.440000000000001</v>
      </c>
      <c r="P102" s="320">
        <v>12.8</v>
      </c>
      <c r="Q102" s="126">
        <v>0.98</v>
      </c>
      <c r="R102" s="136">
        <v>0.05</v>
      </c>
    </row>
    <row r="103" spans="1:18" s="120" customFormat="1" ht="12.45" customHeight="1" x14ac:dyDescent="0.35">
      <c r="B103" s="83">
        <v>2040060016</v>
      </c>
      <c r="C103" s="26"/>
      <c r="D103" s="39" t="s">
        <v>115</v>
      </c>
      <c r="E103" s="39" t="s">
        <v>186</v>
      </c>
      <c r="F103" s="26" t="s">
        <v>129</v>
      </c>
      <c r="G103" s="26"/>
      <c r="H103" s="26"/>
      <c r="I103" s="26"/>
      <c r="J103" s="26"/>
      <c r="K103" s="26"/>
      <c r="L103" s="93"/>
      <c r="M103" s="93"/>
      <c r="N103" s="134">
        <f>($U$3*O103)*(100%+Q103)</f>
        <v>0</v>
      </c>
      <c r="O103" s="132">
        <f>(P103*(100%+R103))</f>
        <v>13.440000000000001</v>
      </c>
      <c r="P103" s="218">
        <f>P102</f>
        <v>12.8</v>
      </c>
      <c r="Q103" s="126">
        <v>0.98</v>
      </c>
      <c r="R103" s="136">
        <v>0.05</v>
      </c>
    </row>
    <row r="104" spans="1:18" ht="12.45" customHeight="1" x14ac:dyDescent="0.35">
      <c r="B104" s="87">
        <v>2040060030</v>
      </c>
      <c r="C104" s="26"/>
      <c r="D104" s="100" t="s">
        <v>115</v>
      </c>
      <c r="E104" s="100" t="s">
        <v>186</v>
      </c>
      <c r="F104" s="88" t="s">
        <v>130</v>
      </c>
      <c r="G104" s="88"/>
      <c r="H104" s="88"/>
      <c r="I104" s="88"/>
      <c r="J104" s="88"/>
      <c r="K104" s="88"/>
      <c r="L104" s="111"/>
      <c r="M104" s="111"/>
      <c r="N104" s="145">
        <f>($U$3*O104)*(100%+Q104)</f>
        <v>0</v>
      </c>
      <c r="O104" s="132">
        <f>(P104*(100%+R104))</f>
        <v>13.440000000000001</v>
      </c>
      <c r="P104" s="218">
        <f>P103</f>
        <v>12.8</v>
      </c>
      <c r="Q104" s="126">
        <v>0.98</v>
      </c>
      <c r="R104" s="136">
        <v>0.05</v>
      </c>
    </row>
    <row r="105" spans="1:18" ht="12.45" customHeight="1" x14ac:dyDescent="0.35">
      <c r="B105" s="83">
        <v>2040060026</v>
      </c>
      <c r="C105" s="26"/>
      <c r="D105" s="39" t="s">
        <v>115</v>
      </c>
      <c r="E105" s="39" t="s">
        <v>186</v>
      </c>
      <c r="F105" s="26" t="s">
        <v>124</v>
      </c>
      <c r="G105" s="26"/>
      <c r="H105" s="26"/>
      <c r="I105" s="26"/>
      <c r="J105" s="26"/>
      <c r="K105" s="26"/>
      <c r="L105" s="93"/>
      <c r="M105" s="93"/>
      <c r="N105" s="134">
        <f>($U$3*O105)*(100%+Q105)</f>
        <v>0</v>
      </c>
      <c r="O105" s="132">
        <f>(P105*(100%+R105))</f>
        <v>8.4525000000000006</v>
      </c>
      <c r="P105" s="320">
        <v>8.0500000000000007</v>
      </c>
      <c r="Q105" s="126">
        <v>0.98</v>
      </c>
      <c r="R105" s="136">
        <v>0.05</v>
      </c>
    </row>
    <row r="106" spans="1:18" ht="6.45" customHeight="1" x14ac:dyDescent="0.35">
      <c r="B106" s="83"/>
      <c r="C106" s="26"/>
      <c r="D106" s="39"/>
      <c r="E106" s="39"/>
      <c r="F106" s="26"/>
      <c r="G106" s="26"/>
      <c r="H106" s="26"/>
      <c r="I106" s="26"/>
      <c r="J106" s="26"/>
      <c r="K106" s="26"/>
      <c r="L106" s="93"/>
      <c r="M106" s="93"/>
      <c r="N106" s="131"/>
      <c r="O106" s="132"/>
      <c r="P106" s="85"/>
      <c r="Q106" s="107"/>
      <c r="R106" s="127"/>
    </row>
    <row r="107" spans="1:18" ht="6.45" customHeight="1" x14ac:dyDescent="0.35">
      <c r="B107" s="83"/>
      <c r="C107" s="26"/>
      <c r="D107" s="39"/>
      <c r="E107" s="39"/>
      <c r="F107" s="26"/>
      <c r="G107" s="26"/>
      <c r="H107" s="26"/>
      <c r="I107" s="26"/>
      <c r="J107" s="26"/>
      <c r="K107" s="26"/>
      <c r="L107" s="93"/>
      <c r="M107" s="93"/>
      <c r="N107" s="131"/>
      <c r="O107" s="132"/>
      <c r="P107" s="85"/>
      <c r="Q107" s="107"/>
      <c r="R107" s="127"/>
    </row>
    <row r="108" spans="1:18" s="117" customFormat="1" ht="12.45" customHeight="1" x14ac:dyDescent="0.35">
      <c r="A108" s="26"/>
      <c r="B108" s="83">
        <v>2040060023</v>
      </c>
      <c r="C108" s="26"/>
      <c r="D108" s="39" t="s">
        <v>115</v>
      </c>
      <c r="E108" s="39" t="s">
        <v>148</v>
      </c>
      <c r="F108" s="26" t="s">
        <v>127</v>
      </c>
      <c r="G108" s="26"/>
      <c r="H108" s="26"/>
      <c r="I108" s="26"/>
      <c r="J108" s="26"/>
      <c r="K108" s="26"/>
      <c r="L108" s="93"/>
      <c r="M108" s="93"/>
      <c r="N108" s="134">
        <f>($U$3*O108)*(100%+Q108)</f>
        <v>0</v>
      </c>
      <c r="O108" s="132">
        <f>(P108*(100%+R108))</f>
        <v>24.57</v>
      </c>
      <c r="P108" s="320">
        <v>23.4</v>
      </c>
      <c r="Q108" s="126">
        <v>0.98</v>
      </c>
      <c r="R108" s="136">
        <v>0.05</v>
      </c>
    </row>
    <row r="109" spans="1:18" s="120" customFormat="1" ht="12.45" customHeight="1" x14ac:dyDescent="0.35">
      <c r="B109" s="83">
        <v>2040060017</v>
      </c>
      <c r="C109" s="26"/>
      <c r="D109" s="39" t="s">
        <v>115</v>
      </c>
      <c r="E109" s="39" t="s">
        <v>148</v>
      </c>
      <c r="F109" s="26" t="s">
        <v>129</v>
      </c>
      <c r="G109" s="26"/>
      <c r="H109" s="26"/>
      <c r="I109" s="26"/>
      <c r="J109" s="26"/>
      <c r="K109" s="26"/>
      <c r="L109" s="93"/>
      <c r="M109" s="93"/>
      <c r="N109" s="134">
        <f>($U$3*O109)*(100%+Q109)</f>
        <v>0</v>
      </c>
      <c r="O109" s="132">
        <f>(P109*(100%+R109))</f>
        <v>24.57</v>
      </c>
      <c r="P109" s="218">
        <f>P108</f>
        <v>23.4</v>
      </c>
      <c r="Q109" s="126">
        <v>0.98</v>
      </c>
      <c r="R109" s="136">
        <v>0.05</v>
      </c>
    </row>
    <row r="110" spans="1:18" ht="12.45" customHeight="1" x14ac:dyDescent="0.35">
      <c r="B110" s="83">
        <v>2040060031</v>
      </c>
      <c r="C110" s="26"/>
      <c r="D110" s="39" t="s">
        <v>115</v>
      </c>
      <c r="E110" s="39" t="s">
        <v>148</v>
      </c>
      <c r="F110" s="26" t="s">
        <v>130</v>
      </c>
      <c r="G110" s="26"/>
      <c r="H110" s="26"/>
      <c r="I110" s="26"/>
      <c r="J110" s="26"/>
      <c r="K110" s="26"/>
      <c r="L110" s="93"/>
      <c r="M110" s="93"/>
      <c r="N110" s="134">
        <f>($U$3*O110)*(100%+Q110)</f>
        <v>0</v>
      </c>
      <c r="O110" s="132">
        <f>(P110*(100%+R110))</f>
        <v>24.57</v>
      </c>
      <c r="P110" s="218">
        <f>P109</f>
        <v>23.4</v>
      </c>
      <c r="Q110" s="126">
        <v>0.98</v>
      </c>
      <c r="R110" s="136">
        <v>0.05</v>
      </c>
    </row>
    <row r="111" spans="1:18" ht="12.45" customHeight="1" x14ac:dyDescent="0.35">
      <c r="B111" s="83">
        <v>2040060027</v>
      </c>
      <c r="C111" s="26"/>
      <c r="D111" s="39" t="s">
        <v>115</v>
      </c>
      <c r="E111" s="39" t="s">
        <v>148</v>
      </c>
      <c r="F111" s="26" t="s">
        <v>124</v>
      </c>
      <c r="G111" s="26"/>
      <c r="H111" s="26"/>
      <c r="I111" s="26"/>
      <c r="J111" s="26"/>
      <c r="K111" s="26"/>
      <c r="L111" s="93"/>
      <c r="M111" s="93"/>
      <c r="N111" s="134">
        <f>($U$3*O111)*(100%+Q111)</f>
        <v>0</v>
      </c>
      <c r="O111" s="132">
        <f>(P111*(100%+R111))</f>
        <v>15.33</v>
      </c>
      <c r="P111" s="320">
        <v>14.6</v>
      </c>
      <c r="Q111" s="126">
        <v>0.98</v>
      </c>
      <c r="R111" s="136">
        <v>0.05</v>
      </c>
    </row>
    <row r="112" spans="1:18" ht="6.45" customHeight="1" x14ac:dyDescent="0.35">
      <c r="B112" s="83"/>
      <c r="C112" s="26"/>
      <c r="D112" s="39"/>
      <c r="E112" s="39"/>
      <c r="F112" s="26"/>
      <c r="G112" s="26"/>
      <c r="H112" s="26"/>
      <c r="I112" s="26"/>
      <c r="J112" s="26"/>
      <c r="K112" s="26"/>
      <c r="L112" s="93"/>
      <c r="M112" s="93"/>
      <c r="N112" s="131"/>
      <c r="O112" s="132"/>
      <c r="P112" s="85"/>
      <c r="R112" s="136"/>
    </row>
    <row r="113" spans="1:18" ht="6.45" customHeight="1" x14ac:dyDescent="0.35">
      <c r="B113" s="83"/>
      <c r="C113" s="26"/>
      <c r="D113" s="39"/>
      <c r="E113" s="39"/>
      <c r="F113" s="26"/>
      <c r="G113" s="26"/>
      <c r="H113" s="26"/>
      <c r="I113" s="26"/>
      <c r="J113" s="26"/>
      <c r="K113" s="26"/>
      <c r="L113" s="93"/>
      <c r="M113" s="93"/>
      <c r="N113" s="131"/>
      <c r="O113" s="132"/>
      <c r="P113" s="218"/>
      <c r="Q113" s="107"/>
      <c r="R113" s="127"/>
    </row>
    <row r="114" spans="1:18" s="117" customFormat="1" ht="12.45" customHeight="1" x14ac:dyDescent="0.35">
      <c r="A114" s="26"/>
      <c r="B114" s="83">
        <v>2040060036</v>
      </c>
      <c r="C114" s="26"/>
      <c r="D114" s="39" t="s">
        <v>115</v>
      </c>
      <c r="E114" s="39" t="s">
        <v>185</v>
      </c>
      <c r="F114" s="26" t="s">
        <v>127</v>
      </c>
      <c r="G114" s="26"/>
      <c r="H114" s="26"/>
      <c r="I114" s="26"/>
      <c r="J114" s="26"/>
      <c r="K114" s="26"/>
      <c r="L114" s="93"/>
      <c r="M114" s="93"/>
      <c r="N114" s="134">
        <f>($U$3*O114)*(100%+Q114)</f>
        <v>0</v>
      </c>
      <c r="O114" s="132">
        <f>(P114*(100%+R114))</f>
        <v>29.82</v>
      </c>
      <c r="P114" s="320">
        <v>28.4</v>
      </c>
      <c r="Q114" s="126">
        <v>0.98</v>
      </c>
      <c r="R114" s="136">
        <v>0.05</v>
      </c>
    </row>
    <row r="115" spans="1:18" s="120" customFormat="1" ht="12.45" customHeight="1" x14ac:dyDescent="0.35">
      <c r="B115" s="87">
        <v>2040060038</v>
      </c>
      <c r="C115" s="88"/>
      <c r="D115" s="100" t="s">
        <v>115</v>
      </c>
      <c r="E115" s="100" t="s">
        <v>185</v>
      </c>
      <c r="F115" s="88" t="s">
        <v>129</v>
      </c>
      <c r="G115" s="88"/>
      <c r="H115" s="88"/>
      <c r="I115" s="88"/>
      <c r="J115" s="88"/>
      <c r="K115" s="88"/>
      <c r="L115" s="111"/>
      <c r="M115" s="111"/>
      <c r="N115" s="145">
        <f>($U$3*O115)*(100%+Q115)</f>
        <v>0</v>
      </c>
      <c r="O115" s="143">
        <f>(P115*(100%+R115))</f>
        <v>29.82</v>
      </c>
      <c r="P115" s="218">
        <f>P114</f>
        <v>28.4</v>
      </c>
      <c r="Q115" s="126">
        <v>0.98</v>
      </c>
      <c r="R115" s="136">
        <v>0.05</v>
      </c>
    </row>
    <row r="116" spans="1:18" s="120" customFormat="1" ht="12.45" customHeight="1" x14ac:dyDescent="0.35">
      <c r="B116" s="87">
        <v>2040060037</v>
      </c>
      <c r="C116" s="88"/>
      <c r="D116" s="100" t="s">
        <v>115</v>
      </c>
      <c r="E116" s="100" t="s">
        <v>185</v>
      </c>
      <c r="F116" s="88" t="s">
        <v>130</v>
      </c>
      <c r="G116" s="88"/>
      <c r="H116" s="88"/>
      <c r="I116" s="88"/>
      <c r="J116" s="88"/>
      <c r="K116" s="88"/>
      <c r="L116" s="111"/>
      <c r="M116" s="111"/>
      <c r="N116" s="145">
        <f>($U$3*O116)*(100%+Q116)</f>
        <v>0</v>
      </c>
      <c r="O116" s="143">
        <f>(P116*(100%+R116))</f>
        <v>29.82</v>
      </c>
      <c r="P116" s="218">
        <f>P115</f>
        <v>28.4</v>
      </c>
      <c r="Q116" s="126">
        <v>0.98</v>
      </c>
      <c r="R116" s="136">
        <v>0.05</v>
      </c>
    </row>
    <row r="117" spans="1:18" ht="12.45" customHeight="1" x14ac:dyDescent="0.35">
      <c r="B117" s="83">
        <v>2040060039</v>
      </c>
      <c r="C117" s="26"/>
      <c r="D117" s="39" t="s">
        <v>115</v>
      </c>
      <c r="E117" s="39" t="s">
        <v>185</v>
      </c>
      <c r="F117" s="26" t="s">
        <v>124</v>
      </c>
      <c r="G117" s="26"/>
      <c r="H117" s="26"/>
      <c r="I117" s="26"/>
      <c r="J117" s="26"/>
      <c r="K117" s="26"/>
      <c r="L117" s="93"/>
      <c r="M117" s="93"/>
      <c r="N117" s="141">
        <f>($U$3*O117)*(100%+Q117)</f>
        <v>0</v>
      </c>
      <c r="O117" s="143">
        <f>(P117*(100%+R117))</f>
        <v>18.059999999999999</v>
      </c>
      <c r="P117" s="320">
        <v>17.2</v>
      </c>
      <c r="Q117" s="126">
        <v>0.98</v>
      </c>
      <c r="R117" s="136">
        <v>0.05</v>
      </c>
    </row>
    <row r="118" spans="1:18" ht="12.45" customHeight="1" x14ac:dyDescent="0.35">
      <c r="B118" s="83"/>
      <c r="C118" s="26"/>
      <c r="D118" s="39"/>
      <c r="E118" s="39"/>
      <c r="F118" s="26"/>
      <c r="G118" s="26"/>
      <c r="H118" s="26"/>
      <c r="I118" s="26"/>
      <c r="J118" s="26"/>
      <c r="K118" s="26"/>
      <c r="L118" s="93"/>
      <c r="M118" s="93"/>
      <c r="N118" s="131"/>
      <c r="O118" s="132"/>
      <c r="P118" s="218"/>
      <c r="R118" s="136"/>
    </row>
    <row r="119" spans="1:18" s="117" customFormat="1" ht="12.45" customHeight="1" x14ac:dyDescent="0.35">
      <c r="A119" s="26"/>
      <c r="B119" s="87">
        <v>2040060024</v>
      </c>
      <c r="C119" s="26"/>
      <c r="D119" s="100" t="s">
        <v>115</v>
      </c>
      <c r="E119" s="100" t="s">
        <v>187</v>
      </c>
      <c r="F119" s="88" t="s">
        <v>127</v>
      </c>
      <c r="G119" s="88"/>
      <c r="H119" s="88"/>
      <c r="I119" s="88"/>
      <c r="J119" s="88"/>
      <c r="K119" s="88"/>
      <c r="L119" s="111"/>
      <c r="M119" s="111"/>
      <c r="N119" s="145">
        <f>($U$3*O119)*(100%+Q119)</f>
        <v>0</v>
      </c>
      <c r="O119" s="132">
        <f>(P119*(100%+R119))</f>
        <v>43.89</v>
      </c>
      <c r="P119" s="320">
        <v>41.8</v>
      </c>
      <c r="Q119" s="126">
        <v>0.98</v>
      </c>
      <c r="R119" s="136">
        <v>0.05</v>
      </c>
    </row>
    <row r="120" spans="1:18" s="120" customFormat="1" ht="12.45" customHeight="1" x14ac:dyDescent="0.35">
      <c r="B120" s="83">
        <v>2040060018</v>
      </c>
      <c r="C120" s="26"/>
      <c r="D120" s="39" t="s">
        <v>115</v>
      </c>
      <c r="E120" s="39" t="s">
        <v>187</v>
      </c>
      <c r="F120" s="26" t="s">
        <v>129</v>
      </c>
      <c r="G120" s="26"/>
      <c r="H120" s="26"/>
      <c r="I120" s="26"/>
      <c r="J120" s="26"/>
      <c r="K120" s="26"/>
      <c r="L120" s="93"/>
      <c r="M120" s="93"/>
      <c r="N120" s="134">
        <f>($U$3*O120)*(100%+Q120)</f>
        <v>0</v>
      </c>
      <c r="O120" s="132">
        <f>(P120*(100%+R120))</f>
        <v>43.89</v>
      </c>
      <c r="P120" s="218">
        <f>P119</f>
        <v>41.8</v>
      </c>
      <c r="Q120" s="126">
        <v>0.98</v>
      </c>
      <c r="R120" s="136">
        <v>0.05</v>
      </c>
    </row>
    <row r="121" spans="1:18" ht="12.45" customHeight="1" x14ac:dyDescent="0.35">
      <c r="B121" s="87">
        <v>2040060032</v>
      </c>
      <c r="C121" s="26"/>
      <c r="D121" s="100" t="s">
        <v>115</v>
      </c>
      <c r="E121" s="100" t="s">
        <v>187</v>
      </c>
      <c r="F121" s="88" t="s">
        <v>130</v>
      </c>
      <c r="G121" s="88"/>
      <c r="H121" s="88"/>
      <c r="I121" s="88"/>
      <c r="J121" s="88"/>
      <c r="K121" s="88"/>
      <c r="L121" s="111"/>
      <c r="M121" s="111"/>
      <c r="N121" s="145">
        <f>($U$3*O121)*(100%+Q121)</f>
        <v>0</v>
      </c>
      <c r="O121" s="132">
        <f>(P121*(100%+R121))</f>
        <v>43.89</v>
      </c>
      <c r="P121" s="218">
        <f>P120</f>
        <v>41.8</v>
      </c>
      <c r="Q121" s="126">
        <v>0.98</v>
      </c>
      <c r="R121" s="136">
        <v>0.05</v>
      </c>
    </row>
    <row r="122" spans="1:18" ht="12.45" customHeight="1" x14ac:dyDescent="0.35">
      <c r="B122" s="83">
        <v>2040060028</v>
      </c>
      <c r="C122" s="26"/>
      <c r="D122" s="39" t="s">
        <v>115</v>
      </c>
      <c r="E122" s="39" t="s">
        <v>187</v>
      </c>
      <c r="F122" s="26" t="s">
        <v>124</v>
      </c>
      <c r="G122" s="26"/>
      <c r="H122" s="26"/>
      <c r="I122" s="26"/>
      <c r="J122" s="26"/>
      <c r="K122" s="26"/>
      <c r="L122" s="93"/>
      <c r="M122" s="93"/>
      <c r="N122" s="134">
        <f>($U$3*O122)*(100%+Q122)</f>
        <v>0</v>
      </c>
      <c r="O122" s="132">
        <f>(P122*(100%+R122))</f>
        <v>27.247499999999999</v>
      </c>
      <c r="P122" s="320">
        <v>25.95</v>
      </c>
      <c r="Q122" s="126">
        <v>0.98</v>
      </c>
      <c r="R122" s="136">
        <v>0.05</v>
      </c>
    </row>
    <row r="123" spans="1:18" ht="6.45" customHeight="1" x14ac:dyDescent="0.35">
      <c r="B123" s="83"/>
      <c r="C123" s="26"/>
      <c r="D123" s="39"/>
      <c r="E123" s="39"/>
      <c r="F123" s="26"/>
      <c r="G123" s="26"/>
      <c r="H123" s="26"/>
      <c r="I123" s="26"/>
      <c r="J123" s="26"/>
      <c r="K123" s="26"/>
      <c r="L123" s="93"/>
      <c r="M123" s="93"/>
      <c r="N123" s="131"/>
      <c r="O123" s="132"/>
      <c r="P123" s="85"/>
      <c r="Q123" s="107"/>
      <c r="R123" s="127"/>
    </row>
    <row r="124" spans="1:18" ht="6.45" customHeight="1" x14ac:dyDescent="0.35">
      <c r="B124" s="83"/>
      <c r="C124" s="26"/>
      <c r="D124" s="39"/>
      <c r="E124" s="39"/>
      <c r="F124" s="26"/>
      <c r="G124" s="26"/>
      <c r="H124" s="26"/>
      <c r="I124" s="26"/>
      <c r="J124" s="26"/>
      <c r="K124" s="26"/>
      <c r="L124" s="93"/>
      <c r="M124" s="93"/>
      <c r="N124" s="131"/>
      <c r="O124" s="132"/>
      <c r="P124" s="85"/>
      <c r="Q124" s="107"/>
      <c r="R124" s="127"/>
    </row>
    <row r="125" spans="1:18" s="117" customFormat="1" ht="12.45" customHeight="1" x14ac:dyDescent="0.35">
      <c r="A125" s="26"/>
      <c r="B125" s="83">
        <v>2040060025</v>
      </c>
      <c r="C125" s="26"/>
      <c r="D125" s="39" t="s">
        <v>115</v>
      </c>
      <c r="E125" s="39" t="s">
        <v>149</v>
      </c>
      <c r="F125" s="26" t="s">
        <v>127</v>
      </c>
      <c r="G125" s="26"/>
      <c r="H125" s="26"/>
      <c r="I125" s="26"/>
      <c r="J125" s="26"/>
      <c r="K125" s="26"/>
      <c r="L125" s="93"/>
      <c r="M125" s="93"/>
      <c r="N125" s="134">
        <f>($U$3*O125)*(100%+Q125)</f>
        <v>0</v>
      </c>
      <c r="O125" s="132">
        <f>(P125*(100%+R125))</f>
        <v>83.422499999999999</v>
      </c>
      <c r="P125" s="320">
        <v>79.45</v>
      </c>
      <c r="Q125" s="126">
        <v>0.98</v>
      </c>
      <c r="R125" s="136">
        <v>0.05</v>
      </c>
    </row>
    <row r="126" spans="1:18" s="120" customFormat="1" ht="12.45" customHeight="1" x14ac:dyDescent="0.35">
      <c r="B126" s="83">
        <v>2040060019</v>
      </c>
      <c r="C126" s="26"/>
      <c r="D126" s="39" t="s">
        <v>115</v>
      </c>
      <c r="E126" s="39" t="s">
        <v>149</v>
      </c>
      <c r="F126" s="26" t="s">
        <v>129</v>
      </c>
      <c r="G126" s="26"/>
      <c r="H126" s="26"/>
      <c r="I126" s="26"/>
      <c r="J126" s="26"/>
      <c r="K126" s="26"/>
      <c r="L126" s="93"/>
      <c r="M126" s="93"/>
      <c r="N126" s="134">
        <f>($U$3*O126)*(100%+Q126)</f>
        <v>0</v>
      </c>
      <c r="O126" s="132">
        <f>(P126*(100%+R126))</f>
        <v>83.422499999999999</v>
      </c>
      <c r="P126" s="218">
        <f>P125</f>
        <v>79.45</v>
      </c>
      <c r="Q126" s="126">
        <v>0.98</v>
      </c>
      <c r="R126" s="136">
        <v>0.05</v>
      </c>
    </row>
    <row r="127" spans="1:18" ht="12.45" customHeight="1" x14ac:dyDescent="0.35">
      <c r="B127" s="83">
        <v>2040060033</v>
      </c>
      <c r="C127" s="26"/>
      <c r="D127" s="39" t="s">
        <v>115</v>
      </c>
      <c r="E127" s="39" t="s">
        <v>149</v>
      </c>
      <c r="F127" s="26" t="s">
        <v>130</v>
      </c>
      <c r="G127" s="26"/>
      <c r="H127" s="26"/>
      <c r="I127" s="26"/>
      <c r="J127" s="26"/>
      <c r="K127" s="26"/>
      <c r="L127" s="93"/>
      <c r="M127" s="93"/>
      <c r="N127" s="134">
        <f>($U$3*O127)*(100%+Q127)</f>
        <v>0</v>
      </c>
      <c r="O127" s="132">
        <f>(P127*(100%+R127))</f>
        <v>83.422499999999999</v>
      </c>
      <c r="P127" s="218">
        <f>P126</f>
        <v>79.45</v>
      </c>
      <c r="Q127" s="126">
        <v>0.98</v>
      </c>
      <c r="R127" s="136">
        <v>0.05</v>
      </c>
    </row>
    <row r="128" spans="1:18" ht="12.45" customHeight="1" x14ac:dyDescent="0.35">
      <c r="B128" s="87">
        <v>2040060029</v>
      </c>
      <c r="C128" s="26"/>
      <c r="D128" s="100" t="s">
        <v>115</v>
      </c>
      <c r="E128" s="100" t="s">
        <v>149</v>
      </c>
      <c r="F128" s="88" t="s">
        <v>124</v>
      </c>
      <c r="G128" s="88"/>
      <c r="H128" s="88"/>
      <c r="I128" s="88"/>
      <c r="J128" s="88"/>
      <c r="K128" s="88"/>
      <c r="L128" s="111"/>
      <c r="M128" s="111"/>
      <c r="N128" s="145">
        <f>($U$3*O128)*(100%+Q128)</f>
        <v>0</v>
      </c>
      <c r="O128" s="132">
        <f>(P128*(100%+R128))</f>
        <v>50.925000000000004</v>
      </c>
      <c r="P128" s="320">
        <v>48.5</v>
      </c>
      <c r="Q128" s="126">
        <v>0.98</v>
      </c>
      <c r="R128" s="136">
        <v>0.05</v>
      </c>
    </row>
    <row r="129" spans="1:18" ht="7.5" customHeight="1" x14ac:dyDescent="0.35">
      <c r="B129" s="39"/>
      <c r="C129" s="26"/>
      <c r="D129" s="100"/>
      <c r="E129" s="100"/>
      <c r="F129" s="88"/>
      <c r="G129" s="88"/>
      <c r="H129" s="88"/>
      <c r="I129" s="88"/>
      <c r="J129" s="88"/>
      <c r="K129" s="88"/>
      <c r="L129" s="111"/>
      <c r="M129" s="111"/>
      <c r="N129" s="187"/>
      <c r="O129" s="132"/>
      <c r="P129" s="85"/>
      <c r="R129" s="136"/>
    </row>
    <row r="130" spans="1:18" ht="13.2" customHeight="1" x14ac:dyDescent="0.35">
      <c r="B130" s="39"/>
      <c r="C130" s="26"/>
      <c r="D130" s="39"/>
      <c r="E130" s="39"/>
      <c r="F130" s="26"/>
      <c r="G130" s="26"/>
      <c r="H130" s="26"/>
      <c r="I130" s="26"/>
      <c r="J130" s="26"/>
      <c r="K130" s="26"/>
      <c r="L130" s="93"/>
      <c r="M130" s="93"/>
      <c r="N130" s="131"/>
      <c r="O130" s="132"/>
      <c r="P130" s="218"/>
      <c r="R130" s="136"/>
    </row>
    <row r="131" spans="1:18" s="92" customFormat="1" x14ac:dyDescent="0.35">
      <c r="A131" s="19"/>
      <c r="B131" s="17" t="s">
        <v>723</v>
      </c>
      <c r="C131" s="18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24"/>
      <c r="O131" s="125"/>
      <c r="P131" s="325"/>
      <c r="Q131" s="127"/>
      <c r="R131" s="127"/>
    </row>
    <row r="132" spans="1:18" s="117" customFormat="1" ht="12.45" customHeight="1" x14ac:dyDescent="0.35">
      <c r="A132" s="19"/>
      <c r="B132" s="17"/>
      <c r="C132" s="18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24"/>
      <c r="O132" s="125"/>
      <c r="P132" s="18"/>
      <c r="Q132" s="126"/>
      <c r="R132" s="126"/>
    </row>
    <row r="133" spans="1:18" s="117" customFormat="1" ht="12.45" customHeight="1" x14ac:dyDescent="0.35">
      <c r="A133" s="19"/>
      <c r="B133" s="26" t="s">
        <v>27</v>
      </c>
      <c r="C133" s="45"/>
      <c r="D133" s="39"/>
      <c r="E133" s="27"/>
      <c r="F133" s="27" t="s">
        <v>137</v>
      </c>
      <c r="G133" s="27"/>
      <c r="H133" s="27"/>
      <c r="I133" s="27"/>
      <c r="J133" s="27"/>
      <c r="K133" s="27"/>
      <c r="L133" s="27"/>
      <c r="M133" s="23"/>
      <c r="N133" s="131" t="s">
        <v>77</v>
      </c>
      <c r="O133" s="132"/>
      <c r="P133" s="42" t="s">
        <v>90</v>
      </c>
      <c r="Q133" s="108" t="s">
        <v>39</v>
      </c>
      <c r="R133" s="133" t="s">
        <v>40</v>
      </c>
    </row>
    <row r="134" spans="1:18" s="117" customFormat="1" ht="12.45" customHeight="1" x14ac:dyDescent="0.35">
      <c r="A134" s="26"/>
      <c r="B134" s="83">
        <v>2040060020</v>
      </c>
      <c r="C134" s="26"/>
      <c r="D134" s="39" t="s">
        <v>151</v>
      </c>
      <c r="E134" s="39"/>
      <c r="F134" s="26" t="s">
        <v>150</v>
      </c>
      <c r="G134" s="26"/>
      <c r="H134" s="26"/>
      <c r="I134" s="26"/>
      <c r="J134" s="26"/>
      <c r="K134" s="26"/>
      <c r="L134" s="93"/>
      <c r="M134" s="93"/>
      <c r="N134" s="134">
        <f>($U$3*O134)*(100%+Q134)</f>
        <v>0</v>
      </c>
      <c r="O134" s="132">
        <f>(P134*(100%+R134))</f>
        <v>3.3075000000000001</v>
      </c>
      <c r="P134" s="320">
        <v>3.15</v>
      </c>
      <c r="Q134" s="126">
        <v>0.98</v>
      </c>
      <c r="R134" s="136">
        <v>0.05</v>
      </c>
    </row>
    <row r="137" spans="1:18" s="92" customFormat="1" x14ac:dyDescent="0.35">
      <c r="A137" s="19"/>
      <c r="B137" s="17" t="s">
        <v>724</v>
      </c>
      <c r="C137" s="18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24"/>
      <c r="O137" s="125"/>
      <c r="P137" s="325"/>
      <c r="Q137" s="127"/>
      <c r="R137" s="127"/>
    </row>
    <row r="138" spans="1:18" s="117" customFormat="1" ht="12.45" customHeight="1" x14ac:dyDescent="0.35">
      <c r="A138" s="19"/>
      <c r="B138" s="17"/>
      <c r="C138" s="18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24"/>
      <c r="O138" s="125"/>
      <c r="P138" s="18"/>
      <c r="Q138" s="126"/>
      <c r="R138" s="126"/>
    </row>
    <row r="139" spans="1:18" s="117" customFormat="1" ht="12.45" customHeight="1" x14ac:dyDescent="0.35">
      <c r="A139" s="19"/>
      <c r="B139" s="26" t="s">
        <v>27</v>
      </c>
      <c r="C139" s="45"/>
      <c r="D139" s="39"/>
      <c r="E139" s="27"/>
      <c r="F139" s="27" t="s">
        <v>137</v>
      </c>
      <c r="G139" s="27"/>
      <c r="H139" s="27"/>
      <c r="I139" s="27"/>
      <c r="J139" s="27"/>
      <c r="K139" s="27"/>
      <c r="L139" s="27"/>
      <c r="M139" s="23"/>
      <c r="N139" s="131" t="s">
        <v>77</v>
      </c>
      <c r="O139" s="132"/>
      <c r="P139" s="42" t="s">
        <v>90</v>
      </c>
      <c r="Q139" s="108" t="s">
        <v>39</v>
      </c>
      <c r="R139" s="133" t="s">
        <v>40</v>
      </c>
    </row>
    <row r="140" spans="1:18" s="117" customFormat="1" ht="12.45" customHeight="1" x14ac:dyDescent="0.35">
      <c r="A140" s="26"/>
      <c r="B140" s="83">
        <v>2040060021</v>
      </c>
      <c r="C140" s="26"/>
      <c r="D140" s="39" t="s">
        <v>152</v>
      </c>
      <c r="E140" s="39"/>
      <c r="F140" s="26" t="s">
        <v>150</v>
      </c>
      <c r="G140" s="26"/>
      <c r="H140" s="26"/>
      <c r="I140" s="26"/>
      <c r="J140" s="26"/>
      <c r="K140" s="26"/>
      <c r="L140" s="93"/>
      <c r="M140" s="93"/>
      <c r="N140" s="134">
        <f>($U$3*O140)*(100%+Q140)</f>
        <v>0</v>
      </c>
      <c r="O140" s="132">
        <f>(P140*(100%+R140))</f>
        <v>7.5075000000000003</v>
      </c>
      <c r="P140" s="320">
        <v>7.15</v>
      </c>
      <c r="Q140" s="126">
        <v>0.98</v>
      </c>
      <c r="R140" s="136">
        <v>0.05</v>
      </c>
    </row>
    <row r="143" spans="1:18" s="92" customFormat="1" x14ac:dyDescent="0.35">
      <c r="A143" s="19"/>
      <c r="B143" s="17" t="s">
        <v>725</v>
      </c>
      <c r="C143" s="18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24"/>
      <c r="O143" s="125"/>
      <c r="P143" s="325"/>
      <c r="Q143" s="127"/>
      <c r="R143" s="127"/>
    </row>
    <row r="144" spans="1:18" s="117" customFormat="1" ht="12.45" customHeight="1" x14ac:dyDescent="0.35">
      <c r="A144" s="19"/>
      <c r="B144" s="17"/>
      <c r="C144" s="18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24"/>
      <c r="O144" s="125"/>
      <c r="P144" s="18"/>
      <c r="Q144" s="126"/>
      <c r="R144" s="126"/>
    </row>
    <row r="145" spans="1:18" s="117" customFormat="1" ht="12.45" customHeight="1" x14ac:dyDescent="0.35">
      <c r="A145" s="19"/>
      <c r="B145" s="26" t="s">
        <v>27</v>
      </c>
      <c r="C145" s="45"/>
      <c r="D145" s="39" t="s">
        <v>153</v>
      </c>
      <c r="E145" s="27" t="s">
        <v>138</v>
      </c>
      <c r="F145" s="27"/>
      <c r="G145" s="27" t="s">
        <v>137</v>
      </c>
      <c r="H145" s="27"/>
      <c r="I145" s="27"/>
      <c r="J145" s="27"/>
      <c r="K145" s="27"/>
      <c r="L145" s="27"/>
      <c r="M145" s="23"/>
      <c r="N145" s="131" t="s">
        <v>77</v>
      </c>
      <c r="O145" s="132"/>
      <c r="P145" s="42" t="s">
        <v>90</v>
      </c>
      <c r="Q145" s="108" t="s">
        <v>39</v>
      </c>
      <c r="R145" s="133" t="s">
        <v>40</v>
      </c>
    </row>
    <row r="146" spans="1:18" s="117" customFormat="1" ht="12.45" customHeight="1" x14ac:dyDescent="0.35">
      <c r="A146" s="26"/>
      <c r="B146" s="83">
        <v>2040060008</v>
      </c>
      <c r="C146" s="26"/>
      <c r="D146" s="39" t="s">
        <v>154</v>
      </c>
      <c r="E146" s="39" t="s">
        <v>188</v>
      </c>
      <c r="F146" s="26"/>
      <c r="G146" s="26" t="s">
        <v>127</v>
      </c>
      <c r="H146" s="26"/>
      <c r="I146" s="26"/>
      <c r="J146" s="26"/>
      <c r="K146" s="26"/>
      <c r="L146" s="93"/>
      <c r="M146" s="93"/>
      <c r="N146" s="134">
        <f>($U$3*O146)*(100%+Q146)</f>
        <v>0</v>
      </c>
      <c r="O146" s="132">
        <f>(P146*(100%+R146))</f>
        <v>159.91500000000002</v>
      </c>
      <c r="P146" s="320">
        <v>152.30000000000001</v>
      </c>
      <c r="Q146" s="126">
        <v>0.81</v>
      </c>
      <c r="R146" s="136">
        <v>0.05</v>
      </c>
    </row>
    <row r="147" spans="1:18" s="120" customFormat="1" ht="12.45" customHeight="1" x14ac:dyDescent="0.35">
      <c r="B147" s="83">
        <v>2040060042</v>
      </c>
      <c r="C147" s="26"/>
      <c r="D147" s="39" t="s">
        <v>154</v>
      </c>
      <c r="E147" s="39" t="s">
        <v>188</v>
      </c>
      <c r="F147" s="26"/>
      <c r="G147" s="26" t="s">
        <v>129</v>
      </c>
      <c r="H147" s="26"/>
      <c r="I147" s="26"/>
      <c r="J147" s="26"/>
      <c r="K147" s="26"/>
      <c r="L147" s="93"/>
      <c r="M147" s="93"/>
      <c r="N147" s="134">
        <f>($U$3*O147)*(100%+Q147)</f>
        <v>0</v>
      </c>
      <c r="O147" s="132">
        <f>(P147*(100%+R147))</f>
        <v>159.91500000000002</v>
      </c>
      <c r="P147" s="218">
        <f>P146</f>
        <v>152.30000000000001</v>
      </c>
      <c r="Q147" s="126">
        <v>0.81</v>
      </c>
      <c r="R147" s="136">
        <v>0.05</v>
      </c>
    </row>
    <row r="148" spans="1:18" ht="12.45" customHeight="1" x14ac:dyDescent="0.35">
      <c r="B148" s="83">
        <v>2040060009</v>
      </c>
      <c r="C148" s="26"/>
      <c r="D148" s="39" t="s">
        <v>154</v>
      </c>
      <c r="E148" s="39" t="s">
        <v>188</v>
      </c>
      <c r="F148" s="26">
        <v>300</v>
      </c>
      <c r="G148" s="26" t="s">
        <v>130</v>
      </c>
      <c r="H148" s="26"/>
      <c r="I148" s="26"/>
      <c r="J148" s="26"/>
      <c r="K148" s="26"/>
      <c r="L148" s="93"/>
      <c r="M148" s="93"/>
      <c r="N148" s="134">
        <f>($U$3*O148)*(100%+Q148)</f>
        <v>0</v>
      </c>
      <c r="O148" s="132">
        <f>(P148*(100%+R148))</f>
        <v>159.91500000000002</v>
      </c>
      <c r="P148" s="218">
        <f>P147</f>
        <v>152.30000000000001</v>
      </c>
      <c r="Q148" s="126">
        <v>0.81</v>
      </c>
      <c r="R148" s="136">
        <v>0.05</v>
      </c>
    </row>
    <row r="149" spans="1:18" ht="12.45" customHeight="1" x14ac:dyDescent="0.35">
      <c r="B149" s="83"/>
      <c r="C149" s="26"/>
      <c r="D149" s="39"/>
      <c r="E149" s="39"/>
      <c r="F149" s="26"/>
      <c r="G149" s="26"/>
      <c r="H149" s="26"/>
      <c r="I149" s="26"/>
      <c r="J149" s="26"/>
      <c r="K149" s="26"/>
      <c r="L149" s="93"/>
      <c r="M149" s="93"/>
      <c r="N149" s="131"/>
      <c r="O149" s="132"/>
      <c r="P149" s="218"/>
      <c r="Q149" s="107"/>
      <c r="R149" s="127"/>
    </row>
    <row r="150" spans="1:18" s="117" customFormat="1" ht="12.45" customHeight="1" x14ac:dyDescent="0.35">
      <c r="A150" s="26"/>
      <c r="B150" s="83">
        <v>2040060010</v>
      </c>
      <c r="C150" s="26"/>
      <c r="D150" s="39" t="s">
        <v>154</v>
      </c>
      <c r="E150" s="39" t="s">
        <v>189</v>
      </c>
      <c r="F150" s="26"/>
      <c r="G150" s="26" t="s">
        <v>127</v>
      </c>
      <c r="H150" s="26"/>
      <c r="I150" s="26"/>
      <c r="J150" s="26"/>
      <c r="K150" s="26"/>
      <c r="L150" s="93"/>
      <c r="M150" s="93"/>
      <c r="N150" s="134">
        <f>($U$3*O150)*(100%+Q150)</f>
        <v>0</v>
      </c>
      <c r="O150" s="132">
        <f>(P150*(100%+R150))</f>
        <v>183.33</v>
      </c>
      <c r="P150" s="320">
        <v>174.6</v>
      </c>
      <c r="Q150" s="126">
        <v>0.81</v>
      </c>
      <c r="R150" s="136">
        <v>0.05</v>
      </c>
    </row>
    <row r="151" spans="1:18" s="120" customFormat="1" ht="12.45" customHeight="1" x14ac:dyDescent="0.35">
      <c r="B151" s="83">
        <v>2040060043</v>
      </c>
      <c r="C151" s="26"/>
      <c r="D151" s="39" t="s">
        <v>154</v>
      </c>
      <c r="E151" s="39" t="s">
        <v>189</v>
      </c>
      <c r="F151" s="26"/>
      <c r="G151" s="26" t="s">
        <v>129</v>
      </c>
      <c r="H151" s="26"/>
      <c r="I151" s="26"/>
      <c r="J151" s="26"/>
      <c r="K151" s="26"/>
      <c r="L151" s="93"/>
      <c r="M151" s="93"/>
      <c r="N151" s="134">
        <f>($U$3*O151)*(100%+Q151)</f>
        <v>0</v>
      </c>
      <c r="O151" s="132">
        <f>(P151*(100%+R151))</f>
        <v>183.33</v>
      </c>
      <c r="P151" s="218">
        <f>P150</f>
        <v>174.6</v>
      </c>
      <c r="Q151" s="126">
        <v>0.81</v>
      </c>
      <c r="R151" s="136">
        <v>0.05</v>
      </c>
    </row>
    <row r="152" spans="1:18" ht="12.45" customHeight="1" x14ac:dyDescent="0.35">
      <c r="B152" s="83">
        <v>2040060011</v>
      </c>
      <c r="C152" s="26"/>
      <c r="D152" s="39" t="s">
        <v>154</v>
      </c>
      <c r="E152" s="39" t="s">
        <v>189</v>
      </c>
      <c r="F152" s="26"/>
      <c r="G152" s="26" t="s">
        <v>130</v>
      </c>
      <c r="H152" s="26"/>
      <c r="I152" s="26"/>
      <c r="J152" s="26"/>
      <c r="K152" s="26"/>
      <c r="L152" s="93"/>
      <c r="M152" s="93"/>
      <c r="N152" s="134">
        <f>($U$3*O152)*(100%+Q152)</f>
        <v>0</v>
      </c>
      <c r="O152" s="132">
        <f>(P152*(100%+R152))</f>
        <v>183.33</v>
      </c>
      <c r="P152" s="218">
        <f>P151</f>
        <v>174.6</v>
      </c>
      <c r="Q152" s="126">
        <v>0.81</v>
      </c>
      <c r="R152" s="136">
        <v>0.05</v>
      </c>
    </row>
    <row r="153" spans="1:18" ht="13" customHeight="1" x14ac:dyDescent="0.35">
      <c r="B153" s="83"/>
      <c r="C153" s="26"/>
      <c r="D153" s="39"/>
      <c r="E153" s="39"/>
      <c r="F153" s="26"/>
      <c r="G153" s="26"/>
      <c r="H153" s="26"/>
      <c r="I153" s="26"/>
      <c r="J153" s="26"/>
      <c r="K153" s="26"/>
      <c r="L153" s="93"/>
      <c r="M153" s="93"/>
      <c r="N153" s="131"/>
      <c r="O153" s="132"/>
      <c r="P153" s="218"/>
      <c r="R153" s="136"/>
    </row>
    <row r="154" spans="1:18" ht="13" customHeight="1" x14ac:dyDescent="0.35"/>
    <row r="155" spans="1:18" s="92" customFormat="1" x14ac:dyDescent="0.35">
      <c r="A155" s="19"/>
      <c r="B155" s="17" t="s">
        <v>786</v>
      </c>
      <c r="C155" s="18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24"/>
      <c r="O155" s="125"/>
      <c r="P155" s="325"/>
      <c r="Q155" s="127"/>
      <c r="R155" s="127"/>
    </row>
    <row r="156" spans="1:18" s="117" customFormat="1" ht="12.45" customHeight="1" x14ac:dyDescent="0.35">
      <c r="A156" s="19"/>
      <c r="B156" s="17"/>
      <c r="C156" s="18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24"/>
      <c r="O156" s="125"/>
      <c r="P156" s="18"/>
      <c r="Q156" s="126"/>
      <c r="R156" s="126"/>
    </row>
    <row r="157" spans="1:18" s="117" customFormat="1" ht="12.45" customHeight="1" x14ac:dyDescent="0.35">
      <c r="A157" s="19"/>
      <c r="B157" s="26" t="s">
        <v>27</v>
      </c>
      <c r="C157" s="45"/>
      <c r="D157" s="39"/>
      <c r="E157" s="27" t="s">
        <v>138</v>
      </c>
      <c r="F157" s="27"/>
      <c r="G157" s="27" t="s">
        <v>137</v>
      </c>
      <c r="H157" s="27"/>
      <c r="I157" s="27"/>
      <c r="J157" s="27"/>
      <c r="K157" s="27"/>
      <c r="L157" s="27"/>
      <c r="M157" s="23"/>
      <c r="N157" s="131" t="s">
        <v>77</v>
      </c>
      <c r="O157" s="132"/>
      <c r="P157" s="42" t="s">
        <v>90</v>
      </c>
      <c r="Q157" s="108" t="s">
        <v>39</v>
      </c>
      <c r="R157" s="133" t="s">
        <v>40</v>
      </c>
    </row>
    <row r="158" spans="1:18" s="117" customFormat="1" ht="12.45" customHeight="1" x14ac:dyDescent="0.35">
      <c r="A158" s="26"/>
      <c r="B158" s="103">
        <v>2040060084</v>
      </c>
      <c r="C158" s="52"/>
      <c r="D158" s="139" t="s">
        <v>131</v>
      </c>
      <c r="E158" s="82" t="s">
        <v>132</v>
      </c>
      <c r="F158" s="52"/>
      <c r="G158" s="52" t="s">
        <v>127</v>
      </c>
      <c r="H158" s="52"/>
      <c r="I158" s="52"/>
      <c r="J158" s="52"/>
      <c r="K158" s="52"/>
      <c r="L158" s="106"/>
      <c r="M158" s="106"/>
      <c r="N158" s="141">
        <f>($U$3*O158)*(100%+Q158)</f>
        <v>0</v>
      </c>
      <c r="O158" s="132">
        <f>(P158*(100%+R158))</f>
        <v>18.399999999999999</v>
      </c>
      <c r="P158" s="320">
        <v>18.399999999999999</v>
      </c>
      <c r="Q158" s="126">
        <v>1</v>
      </c>
      <c r="R158" s="136">
        <v>0</v>
      </c>
    </row>
    <row r="159" spans="1:18" s="120" customFormat="1" ht="12.45" customHeight="1" x14ac:dyDescent="0.35">
      <c r="B159" s="103">
        <v>2040060085</v>
      </c>
      <c r="C159" s="52"/>
      <c r="D159" s="139" t="s">
        <v>131</v>
      </c>
      <c r="E159" s="82" t="s">
        <v>132</v>
      </c>
      <c r="F159" s="52"/>
      <c r="G159" s="52" t="s">
        <v>129</v>
      </c>
      <c r="H159" s="52"/>
      <c r="I159" s="52"/>
      <c r="J159" s="52"/>
      <c r="K159" s="52"/>
      <c r="L159" s="106"/>
      <c r="M159" s="106"/>
      <c r="N159" s="141">
        <f>($U$3*O159)*(100%+Q159)</f>
        <v>0</v>
      </c>
      <c r="O159" s="132">
        <f>(P159*(100%+R159))</f>
        <v>18.399999999999999</v>
      </c>
      <c r="P159" s="218">
        <f>P158</f>
        <v>18.399999999999999</v>
      </c>
      <c r="Q159" s="126">
        <v>1</v>
      </c>
      <c r="R159" s="136">
        <v>0</v>
      </c>
    </row>
    <row r="160" spans="1:18" ht="12.45" customHeight="1" x14ac:dyDescent="0.35">
      <c r="B160" s="103">
        <v>2040060086</v>
      </c>
      <c r="C160" s="52"/>
      <c r="D160" s="139" t="s">
        <v>131</v>
      </c>
      <c r="E160" s="82" t="s">
        <v>132</v>
      </c>
      <c r="F160" s="52"/>
      <c r="G160" s="52" t="s">
        <v>130</v>
      </c>
      <c r="H160" s="52"/>
      <c r="I160" s="52"/>
      <c r="J160" s="52"/>
      <c r="K160" s="52"/>
      <c r="L160" s="106"/>
      <c r="M160" s="106"/>
      <c r="N160" s="141">
        <f>($U$3*O160)*(100%+Q160)</f>
        <v>0</v>
      </c>
      <c r="O160" s="132">
        <f>(P160*(100%+R160))</f>
        <v>18.399999999999999</v>
      </c>
      <c r="P160" s="218">
        <f>P159</f>
        <v>18.399999999999999</v>
      </c>
      <c r="Q160" s="126">
        <v>1</v>
      </c>
      <c r="R160" s="136">
        <v>0</v>
      </c>
    </row>
    <row r="161" spans="2:18" ht="12.45" customHeight="1" x14ac:dyDescent="0.35">
      <c r="B161" s="103"/>
      <c r="C161" s="52"/>
      <c r="D161" s="139"/>
      <c r="E161" s="82"/>
      <c r="F161" s="52"/>
      <c r="G161" s="52"/>
      <c r="H161" s="52"/>
      <c r="I161" s="52"/>
      <c r="J161" s="52"/>
      <c r="K161" s="52"/>
      <c r="L161" s="106"/>
      <c r="M161" s="106"/>
      <c r="N161" s="147"/>
      <c r="O161" s="132"/>
      <c r="P161" s="218"/>
      <c r="Q161" s="107"/>
      <c r="R161" s="127"/>
    </row>
    <row r="162" spans="2:18" ht="12.45" customHeight="1" x14ac:dyDescent="0.35">
      <c r="B162" s="103">
        <v>2040060087</v>
      </c>
      <c r="C162" s="52"/>
      <c r="D162" s="139" t="s">
        <v>131</v>
      </c>
      <c r="E162" s="82" t="s">
        <v>783</v>
      </c>
      <c r="F162" s="52"/>
      <c r="G162" s="52" t="s">
        <v>127</v>
      </c>
      <c r="H162" s="52"/>
      <c r="I162" s="52"/>
      <c r="J162" s="52"/>
      <c r="K162" s="52"/>
      <c r="L162" s="106"/>
      <c r="M162" s="106"/>
      <c r="N162" s="141">
        <f>($U$3*O162)*(100%+Q162)</f>
        <v>0</v>
      </c>
      <c r="O162" s="132">
        <f>(P162*(100%+R162))</f>
        <v>19.350000000000001</v>
      </c>
      <c r="P162" s="320">
        <v>19.350000000000001</v>
      </c>
      <c r="Q162" s="126">
        <v>1</v>
      </c>
      <c r="R162" s="136">
        <v>0</v>
      </c>
    </row>
    <row r="163" spans="2:18" ht="12.45" customHeight="1" x14ac:dyDescent="0.35">
      <c r="B163" s="103">
        <v>2040060088</v>
      </c>
      <c r="C163" s="52"/>
      <c r="D163" s="139" t="s">
        <v>131</v>
      </c>
      <c r="E163" s="82" t="s">
        <v>783</v>
      </c>
      <c r="F163" s="52"/>
      <c r="G163" s="52" t="s">
        <v>129</v>
      </c>
      <c r="H163" s="52"/>
      <c r="I163" s="52"/>
      <c r="J163" s="52"/>
      <c r="K163" s="52"/>
      <c r="L163" s="106"/>
      <c r="M163" s="106"/>
      <c r="N163" s="141">
        <f>($U$3*O163)*(100%+Q163)</f>
        <v>0</v>
      </c>
      <c r="O163" s="132">
        <f>(P163*(100%+R163))</f>
        <v>19.350000000000001</v>
      </c>
      <c r="P163" s="218">
        <f>P162</f>
        <v>19.350000000000001</v>
      </c>
      <c r="Q163" s="126">
        <v>1</v>
      </c>
      <c r="R163" s="136">
        <v>0</v>
      </c>
    </row>
    <row r="164" spans="2:18" ht="12.45" customHeight="1" x14ac:dyDescent="0.35">
      <c r="B164" s="103">
        <v>2040060089</v>
      </c>
      <c r="C164" s="52"/>
      <c r="D164" s="139" t="s">
        <v>131</v>
      </c>
      <c r="E164" s="82" t="s">
        <v>783</v>
      </c>
      <c r="F164" s="52"/>
      <c r="G164" s="52" t="s">
        <v>130</v>
      </c>
      <c r="H164" s="52"/>
      <c r="I164" s="52"/>
      <c r="J164" s="52"/>
      <c r="K164" s="52"/>
      <c r="L164" s="106"/>
      <c r="M164" s="106"/>
      <c r="N164" s="141">
        <f>($U$3*O164)*(100%+Q164)</f>
        <v>0</v>
      </c>
      <c r="O164" s="132">
        <f>(P164*(100%+R164))</f>
        <v>19.350000000000001</v>
      </c>
      <c r="P164" s="218">
        <f>P162</f>
        <v>19.350000000000001</v>
      </c>
      <c r="Q164" s="126">
        <v>1</v>
      </c>
      <c r="R164" s="136">
        <v>0</v>
      </c>
    </row>
    <row r="165" spans="2:18" ht="12.45" customHeight="1" x14ac:dyDescent="0.35">
      <c r="B165" s="103"/>
      <c r="C165" s="52"/>
      <c r="D165" s="139"/>
      <c r="E165" s="82"/>
      <c r="F165" s="52"/>
      <c r="G165" s="52"/>
      <c r="H165" s="52"/>
      <c r="I165" s="52"/>
      <c r="J165" s="52"/>
      <c r="K165" s="52"/>
      <c r="L165" s="106"/>
      <c r="M165" s="106"/>
      <c r="N165" s="147"/>
      <c r="O165" s="132"/>
      <c r="P165" s="218"/>
      <c r="Q165" s="107"/>
      <c r="R165" s="127"/>
    </row>
    <row r="166" spans="2:18" ht="12.45" customHeight="1" x14ac:dyDescent="0.35">
      <c r="B166" s="103">
        <v>2040060090</v>
      </c>
      <c r="C166" s="52"/>
      <c r="D166" s="139" t="s">
        <v>131</v>
      </c>
      <c r="E166" s="82" t="s">
        <v>134</v>
      </c>
      <c r="F166" s="52"/>
      <c r="G166" s="52" t="s">
        <v>127</v>
      </c>
      <c r="H166" s="52"/>
      <c r="I166" s="52"/>
      <c r="J166" s="52"/>
      <c r="K166" s="52"/>
      <c r="L166" s="106"/>
      <c r="M166" s="106"/>
      <c r="N166" s="141">
        <f>($U$3*O166)*(100%+Q166)</f>
        <v>0</v>
      </c>
      <c r="O166" s="132">
        <f>(P166*(100%+R166))</f>
        <v>20.6</v>
      </c>
      <c r="P166" s="320">
        <v>20.6</v>
      </c>
      <c r="Q166" s="126">
        <v>1</v>
      </c>
      <c r="R166" s="136">
        <v>0</v>
      </c>
    </row>
    <row r="167" spans="2:18" ht="12.45" customHeight="1" x14ac:dyDescent="0.35">
      <c r="B167" s="103">
        <v>2040060091</v>
      </c>
      <c r="C167" s="52"/>
      <c r="D167" s="139" t="s">
        <v>131</v>
      </c>
      <c r="E167" s="82" t="s">
        <v>134</v>
      </c>
      <c r="F167" s="52"/>
      <c r="G167" s="52" t="s">
        <v>129</v>
      </c>
      <c r="H167" s="52"/>
      <c r="I167" s="52"/>
      <c r="J167" s="52"/>
      <c r="K167" s="52"/>
      <c r="L167" s="106"/>
      <c r="M167" s="106"/>
      <c r="N167" s="141">
        <f>($U$3*O167)*(100%+Q167)</f>
        <v>0</v>
      </c>
      <c r="O167" s="132">
        <f>(P167*(100%+R167))</f>
        <v>20.6</v>
      </c>
      <c r="P167" s="218">
        <f>P166</f>
        <v>20.6</v>
      </c>
      <c r="Q167" s="126">
        <v>1</v>
      </c>
      <c r="R167" s="136">
        <v>0</v>
      </c>
    </row>
    <row r="168" spans="2:18" ht="12.45" customHeight="1" x14ac:dyDescent="0.35">
      <c r="B168" s="103">
        <v>2040060092</v>
      </c>
      <c r="C168" s="52"/>
      <c r="D168" s="139" t="s">
        <v>131</v>
      </c>
      <c r="E168" s="82" t="s">
        <v>134</v>
      </c>
      <c r="F168" s="52"/>
      <c r="G168" s="52" t="s">
        <v>130</v>
      </c>
      <c r="H168" s="52"/>
      <c r="I168" s="52"/>
      <c r="J168" s="52"/>
      <c r="K168" s="52"/>
      <c r="L168" s="106"/>
      <c r="M168" s="106"/>
      <c r="N168" s="141">
        <f>($U$3*O168)*(100%+Q168)</f>
        <v>0</v>
      </c>
      <c r="O168" s="132">
        <f>(P168*(100%+R168))</f>
        <v>20.6</v>
      </c>
      <c r="P168" s="218">
        <f>P166</f>
        <v>20.6</v>
      </c>
      <c r="Q168" s="126">
        <v>1</v>
      </c>
      <c r="R168" s="136">
        <v>0</v>
      </c>
    </row>
    <row r="169" spans="2:18" ht="12.45" customHeight="1" x14ac:dyDescent="0.35">
      <c r="B169" s="103"/>
      <c r="C169" s="52"/>
      <c r="D169" s="139"/>
      <c r="E169" s="82"/>
      <c r="F169" s="52"/>
      <c r="G169" s="52"/>
      <c r="H169" s="52"/>
      <c r="I169" s="52"/>
      <c r="J169" s="52"/>
      <c r="K169" s="52"/>
      <c r="L169" s="106"/>
      <c r="M169" s="106"/>
      <c r="N169" s="147"/>
      <c r="O169" s="132"/>
      <c r="P169" s="218"/>
      <c r="Q169" s="107"/>
      <c r="R169" s="127"/>
    </row>
    <row r="170" spans="2:18" ht="12.45" customHeight="1" x14ac:dyDescent="0.35">
      <c r="B170" s="103">
        <v>2040060093</v>
      </c>
      <c r="C170" s="52"/>
      <c r="D170" s="139" t="s">
        <v>131</v>
      </c>
      <c r="E170" s="82" t="s">
        <v>135</v>
      </c>
      <c r="F170" s="52"/>
      <c r="G170" s="52" t="s">
        <v>127</v>
      </c>
      <c r="H170" s="52"/>
      <c r="I170" s="52"/>
      <c r="J170" s="52"/>
      <c r="K170" s="52"/>
      <c r="L170" s="106"/>
      <c r="M170" s="106"/>
      <c r="N170" s="141">
        <f>($U$3*O170)*(100%+Q170)</f>
        <v>0</v>
      </c>
      <c r="O170" s="132">
        <f>(P170*(100%+R170))</f>
        <v>20.6</v>
      </c>
      <c r="P170" s="218">
        <f>P166</f>
        <v>20.6</v>
      </c>
      <c r="Q170" s="126">
        <v>1</v>
      </c>
      <c r="R170" s="136">
        <v>0</v>
      </c>
    </row>
    <row r="171" spans="2:18" ht="12.45" customHeight="1" x14ac:dyDescent="0.35">
      <c r="B171" s="103">
        <v>2040060094</v>
      </c>
      <c r="C171" s="52"/>
      <c r="D171" s="139" t="s">
        <v>131</v>
      </c>
      <c r="E171" s="82" t="s">
        <v>135</v>
      </c>
      <c r="F171" s="52"/>
      <c r="G171" s="52" t="s">
        <v>129</v>
      </c>
      <c r="H171" s="52"/>
      <c r="I171" s="52"/>
      <c r="J171" s="52"/>
      <c r="K171" s="52"/>
      <c r="L171" s="106"/>
      <c r="M171" s="106"/>
      <c r="N171" s="141">
        <f>($U$3*O171)*(100%+Q171)</f>
        <v>0</v>
      </c>
      <c r="O171" s="132">
        <f>(P171*(100%+R171))</f>
        <v>20.6</v>
      </c>
      <c r="P171" s="218">
        <f>P166</f>
        <v>20.6</v>
      </c>
      <c r="Q171" s="126">
        <v>1</v>
      </c>
      <c r="R171" s="136">
        <v>0</v>
      </c>
    </row>
    <row r="172" spans="2:18" ht="12.45" customHeight="1" x14ac:dyDescent="0.35">
      <c r="B172" s="103">
        <v>2040060095</v>
      </c>
      <c r="C172" s="52"/>
      <c r="D172" s="139" t="s">
        <v>131</v>
      </c>
      <c r="E172" s="82" t="s">
        <v>135</v>
      </c>
      <c r="F172" s="52"/>
      <c r="G172" s="52" t="s">
        <v>130</v>
      </c>
      <c r="H172" s="52"/>
      <c r="I172" s="52"/>
      <c r="J172" s="52"/>
      <c r="K172" s="52"/>
      <c r="L172" s="106"/>
      <c r="M172" s="106"/>
      <c r="N172" s="141">
        <f>($U$3*O172)*(100%+Q172)</f>
        <v>0</v>
      </c>
      <c r="O172" s="132">
        <f>(P172*(100%+R172))</f>
        <v>20.6</v>
      </c>
      <c r="P172" s="218">
        <f>P166</f>
        <v>20.6</v>
      </c>
      <c r="Q172" s="126">
        <v>1</v>
      </c>
      <c r="R172" s="136">
        <v>0</v>
      </c>
    </row>
    <row r="173" spans="2:18" ht="12.45" customHeight="1" x14ac:dyDescent="0.35">
      <c r="B173" s="103"/>
      <c r="C173" s="52"/>
      <c r="D173" s="139"/>
      <c r="E173" s="82"/>
      <c r="F173" s="52"/>
      <c r="G173" s="52"/>
      <c r="H173" s="52"/>
      <c r="I173" s="52"/>
      <c r="J173" s="52"/>
      <c r="K173" s="52"/>
      <c r="L173" s="106"/>
      <c r="M173" s="106"/>
      <c r="N173" s="147"/>
      <c r="O173" s="132"/>
      <c r="P173" s="218"/>
      <c r="Q173" s="107"/>
      <c r="R173" s="127"/>
    </row>
    <row r="174" spans="2:18" ht="12.45" customHeight="1" x14ac:dyDescent="0.35">
      <c r="B174" s="103">
        <v>2040060096</v>
      </c>
      <c r="C174" s="52"/>
      <c r="D174" s="139" t="s">
        <v>131</v>
      </c>
      <c r="E174" s="82" t="s">
        <v>784</v>
      </c>
      <c r="F174" s="52"/>
      <c r="G174" s="52" t="s">
        <v>129</v>
      </c>
      <c r="H174" s="52"/>
      <c r="I174" s="52"/>
      <c r="J174" s="52"/>
      <c r="K174" s="52"/>
      <c r="L174" s="106"/>
      <c r="M174" s="106"/>
      <c r="N174" s="141">
        <f>($U$3*O174)*(100%+Q174)</f>
        <v>0</v>
      </c>
      <c r="O174" s="132">
        <f>(P174*(100%+R174))</f>
        <v>21.2</v>
      </c>
      <c r="P174" s="320">
        <v>21.2</v>
      </c>
      <c r="Q174" s="126">
        <v>1</v>
      </c>
      <c r="R174" s="136">
        <v>0</v>
      </c>
    </row>
  </sheetData>
  <sheetProtection algorithmName="SHA-512" hashValue="TuzVycIyQKlrvkiceTRkLU6is9d3oPP7DxxbFzhb2Vh2o6Y9GpTKSk81xphU9kIzUIzr7rX8JxeBGJbErB/W9g==" saltValue="4o3Xsgy1fm4X1mVbVMUiLw==" spinCount="100000" sheet="1" objects="1" scenarios="1"/>
  <phoneticPr fontId="53" type="noConversion"/>
  <conditionalFormatting sqref="B6:O8">
    <cfRule type="expression" dxfId="104" priority="86">
      <formula>MOD(ROW(),2)=0</formula>
    </cfRule>
  </conditionalFormatting>
  <conditionalFormatting sqref="B14:O16">
    <cfRule type="expression" dxfId="103" priority="68">
      <formula>MOD(ROW(),2)=0</formula>
    </cfRule>
  </conditionalFormatting>
  <conditionalFormatting sqref="B22:O23">
    <cfRule type="expression" dxfId="102" priority="11">
      <formula>MOD(ROW(),2)=0</formula>
    </cfRule>
  </conditionalFormatting>
  <conditionalFormatting sqref="B28:O30 B32:O34 B36:O38">
    <cfRule type="expression" dxfId="101" priority="66">
      <formula>MOD(ROW(),2)=0</formula>
    </cfRule>
  </conditionalFormatting>
  <conditionalFormatting sqref="B40:O42 B44:O44">
    <cfRule type="expression" dxfId="100" priority="64">
      <formula>MOD(ROW(),2)=0</formula>
    </cfRule>
  </conditionalFormatting>
  <conditionalFormatting sqref="B50:O52">
    <cfRule type="expression" dxfId="99" priority="62">
      <formula>MOD(ROW(),2)=0</formula>
    </cfRule>
  </conditionalFormatting>
  <conditionalFormatting sqref="B58:O61">
    <cfRule type="expression" dxfId="98" priority="60">
      <formula>MOD(ROW(),2)=0</formula>
    </cfRule>
  </conditionalFormatting>
  <conditionalFormatting sqref="B66:O68">
    <cfRule type="expression" dxfId="97" priority="58">
      <formula>MOD(ROW(),2)=0</formula>
    </cfRule>
  </conditionalFormatting>
  <conditionalFormatting sqref="B74:O76">
    <cfRule type="expression" dxfId="96" priority="56">
      <formula>MOD(ROW(),2)=0</formula>
    </cfRule>
  </conditionalFormatting>
  <conditionalFormatting sqref="B82:O84">
    <cfRule type="expression" dxfId="95" priority="54">
      <formula>MOD(ROW(),2)=0</formula>
    </cfRule>
  </conditionalFormatting>
  <conditionalFormatting sqref="B90:O92">
    <cfRule type="expression" dxfId="94" priority="52">
      <formula>MOD(ROW(),2)=0</formula>
    </cfRule>
  </conditionalFormatting>
  <conditionalFormatting sqref="B94:O96">
    <cfRule type="expression" dxfId="93" priority="50">
      <formula>MOD(ROW(),2)=0</formula>
    </cfRule>
  </conditionalFormatting>
  <conditionalFormatting sqref="B102:O105">
    <cfRule type="expression" dxfId="92" priority="25">
      <formula>MOD(ROW(),2)=0</formula>
    </cfRule>
  </conditionalFormatting>
  <conditionalFormatting sqref="B108:O111">
    <cfRule type="expression" dxfId="91" priority="30">
      <formula>MOD(ROW(),2)=0</formula>
    </cfRule>
  </conditionalFormatting>
  <conditionalFormatting sqref="B114:O117">
    <cfRule type="expression" dxfId="90" priority="17">
      <formula>MOD(ROW(),2)=0</formula>
    </cfRule>
  </conditionalFormatting>
  <conditionalFormatting sqref="B119:O122">
    <cfRule type="expression" dxfId="89" priority="15">
      <formula>MOD(ROW(),2)=0</formula>
    </cfRule>
  </conditionalFormatting>
  <conditionalFormatting sqref="B125:O129">
    <cfRule type="expression" dxfId="88" priority="14">
      <formula>MOD(ROW(),2)=0</formula>
    </cfRule>
  </conditionalFormatting>
  <conditionalFormatting sqref="B134:O134">
    <cfRule type="expression" dxfId="87" priority="44">
      <formula>MOD(ROW(),2)=0</formula>
    </cfRule>
  </conditionalFormatting>
  <conditionalFormatting sqref="B140:O140">
    <cfRule type="expression" dxfId="86" priority="42">
      <formula>MOD(ROW(),2)=0</formula>
    </cfRule>
  </conditionalFormatting>
  <conditionalFormatting sqref="B146:O148">
    <cfRule type="expression" dxfId="85" priority="18">
      <formula>MOD(ROW(),2)=0</formula>
    </cfRule>
  </conditionalFormatting>
  <conditionalFormatting sqref="B150:O153">
    <cfRule type="expression" dxfId="84" priority="36">
      <formula>MOD(ROW(),2)=0</formula>
    </cfRule>
  </conditionalFormatting>
  <conditionalFormatting sqref="B158:O160 B162:O164 B166:O168">
    <cfRule type="expression" dxfId="83" priority="8">
      <formula>MOD(ROW(),2)=0</formula>
    </cfRule>
  </conditionalFormatting>
  <conditionalFormatting sqref="B170:O172">
    <cfRule type="expression" dxfId="82" priority="1">
      <formula>MOD(ROW(),2)=0</formula>
    </cfRule>
  </conditionalFormatting>
  <conditionalFormatting sqref="B174:O174">
    <cfRule type="expression" dxfId="81" priority="4">
      <formula>MOD(ROW(),2)=0</formula>
    </cfRule>
  </conditionalFormatting>
  <conditionalFormatting sqref="C6">
    <cfRule type="expression" dxfId="80" priority="84">
      <formula>MOD(ROW(),2)=0</formula>
    </cfRule>
  </conditionalFormatting>
  <conditionalFormatting sqref="C7:D8">
    <cfRule type="expression" dxfId="79" priority="85">
      <formula>MOD(ROW(),2)=0</formula>
    </cfRule>
  </conditionalFormatting>
  <conditionalFormatting sqref="D23">
    <cfRule type="expression" dxfId="78" priority="10">
      <formula>MOD(ROW(),2)=0</formula>
    </cfRule>
  </conditionalFormatting>
  <conditionalFormatting sqref="O9:O10">
    <cfRule type="expression" dxfId="77" priority="95">
      <formula>MOD(ROW(),2)=0</formula>
    </cfRule>
  </conditionalFormatting>
  <pageMargins left="0.70866141732283472" right="0.70866141732283472" top="1.3385826771653544" bottom="0.78740157480314965" header="0.31496062992125984" footer="0.31496062992125984"/>
  <pageSetup paperSize="9" scale="94" orientation="portrait" r:id="rId1"/>
  <headerFooter>
    <oddHeader>&amp;L&amp;G&amp;R&amp;"Century Gothic,Fett"&amp;16&amp;A</oddHeader>
  </headerFooter>
  <rowBreaks count="3" manualBreakCount="3">
    <brk id="54" max="13" man="1"/>
    <brk id="98" max="13" man="1"/>
    <brk id="142" max="13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BSO999929 xmlns="http://www.datev.de/BSOffice/999929">b48a687a-327f-4f2c-a31b-d4a1077b4673</BSO999929>
</file>

<file path=customXml/itemProps1.xml><?xml version="1.0" encoding="utf-8"?>
<ds:datastoreItem xmlns:ds="http://schemas.openxmlformats.org/officeDocument/2006/customXml" ds:itemID="{CD6D00DF-21F1-4B7E-99DB-5BD581D7D2F6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202</vt:i4>
      </vt:variant>
    </vt:vector>
  </HeadingPairs>
  <TitlesOfParts>
    <vt:vector size="215" baseType="lpstr">
      <vt:lpstr>Inhaltsverzeichnis</vt:lpstr>
      <vt:lpstr>Kupfer Entwässerung</vt:lpstr>
      <vt:lpstr>Uginox Entwässerung</vt:lpstr>
      <vt:lpstr>Zink Entwässerung</vt:lpstr>
      <vt:lpstr>Verzinkt Entwässerung</vt:lpstr>
      <vt:lpstr>ALUSTAR Entwässerung</vt:lpstr>
      <vt:lpstr>Bänder - Tafeln</vt:lpstr>
      <vt:lpstr>Zubehör Blechdach</vt:lpstr>
      <vt:lpstr>Bedachungsartikel</vt:lpstr>
      <vt:lpstr>LORO-Polybit</vt:lpstr>
      <vt:lpstr>Spenglerwerkzeug</vt:lpstr>
      <vt:lpstr>Gewichtsübersicht</vt:lpstr>
      <vt:lpstr>Diverse Notizen</vt:lpstr>
      <vt:lpstr>AluAblaufrohr</vt:lpstr>
      <vt:lpstr>AluBandbesch</vt:lpstr>
      <vt:lpstr>AluBandBeschPalmer</vt:lpstr>
      <vt:lpstr>AluBandblank</vt:lpstr>
      <vt:lpstr>AluBandLochblech</vt:lpstr>
      <vt:lpstr>AluBandRiffel</vt:lpstr>
      <vt:lpstr>AluBandTafelbesch</vt:lpstr>
      <vt:lpstr>AluBandTafeln</vt:lpstr>
      <vt:lpstr>AluBogen</vt:lpstr>
      <vt:lpstr>AluDachrinne</vt:lpstr>
      <vt:lpstr>AluEinhang</vt:lpstr>
      <vt:lpstr>AluFallrohrabzweig</vt:lpstr>
      <vt:lpstr>AluLochbesch</vt:lpstr>
      <vt:lpstr>AluLochblech</vt:lpstr>
      <vt:lpstr>AluRegenwasser</vt:lpstr>
      <vt:lpstr>AluRiffel</vt:lpstr>
      <vt:lpstr>AluRinne</vt:lpstr>
      <vt:lpstr>AluRinnenboden</vt:lpstr>
      <vt:lpstr>AluRinnendilla</vt:lpstr>
      <vt:lpstr>AluRinnenhaken</vt:lpstr>
      <vt:lpstr>AluRinnenwinkel</vt:lpstr>
      <vt:lpstr>AluRohrschelle</vt:lpstr>
      <vt:lpstr>AluStand</vt:lpstr>
      <vt:lpstr>AluSteck</vt:lpstr>
      <vt:lpstr>AluTafelbesch</vt:lpstr>
      <vt:lpstr>AluWasserfang</vt:lpstr>
      <vt:lpstr>AluWassersammler</vt:lpstr>
      <vt:lpstr>BedachungAufdachmodulhalter</vt:lpstr>
      <vt:lpstr>BedachungLaufstehhalter</vt:lpstr>
      <vt:lpstr>BedachungMetalldachfenster</vt:lpstr>
      <vt:lpstr>BedachungMetalldachplatte</vt:lpstr>
      <vt:lpstr>BedachungRohrhalter</vt:lpstr>
      <vt:lpstr>BedachungRost</vt:lpstr>
      <vt:lpstr>BedachungRundholzhalter</vt:lpstr>
      <vt:lpstr>BedachungSchneefanggitter</vt:lpstr>
      <vt:lpstr>BedachungSchneefanghalter</vt:lpstr>
      <vt:lpstr>BedachungSchneefangUniversal</vt:lpstr>
      <vt:lpstr>BedachungSicherheitsdachhaken</vt:lpstr>
      <vt:lpstr>Dichtblindnieten</vt:lpstr>
      <vt:lpstr>'ALUSTAR Entwässerung'!Druckbereich</vt:lpstr>
      <vt:lpstr>'Bänder - Tafeln'!Druckbereich</vt:lpstr>
      <vt:lpstr>Bedachungsartikel!Druckbereich</vt:lpstr>
      <vt:lpstr>'Diverse Notizen'!Druckbereich</vt:lpstr>
      <vt:lpstr>Gewichtsübersicht!Druckbereich</vt:lpstr>
      <vt:lpstr>Inhaltsverzeichnis!Druckbereich</vt:lpstr>
      <vt:lpstr>'Kupfer Entwässerung'!Druckbereich</vt:lpstr>
      <vt:lpstr>'LORO-Polybit'!Druckbereich</vt:lpstr>
      <vt:lpstr>Spenglerwerkzeug!Druckbereich</vt:lpstr>
      <vt:lpstr>'Uginox Entwässerung'!Druckbereich</vt:lpstr>
      <vt:lpstr>'Verzinkt Entwässerung'!Druckbereich</vt:lpstr>
      <vt:lpstr>'Zink Entwässerung'!Druckbereich</vt:lpstr>
      <vt:lpstr>'Zubehör Blechdach'!Druckbereich</vt:lpstr>
      <vt:lpstr>EdelstahlBandblank</vt:lpstr>
      <vt:lpstr>EdelstahlBandTafelblank</vt:lpstr>
      <vt:lpstr>FehlendesSortiment</vt:lpstr>
      <vt:lpstr>GewichtAluRiffel</vt:lpstr>
      <vt:lpstr>GewichtBandAlu</vt:lpstr>
      <vt:lpstr>GewichtBandEdelstahl</vt:lpstr>
      <vt:lpstr>GewichtBandKupfer</vt:lpstr>
      <vt:lpstr>GewichtBandUginox</vt:lpstr>
      <vt:lpstr>GewichtBandVerzinkt</vt:lpstr>
      <vt:lpstr>GewichtBandZink</vt:lpstr>
      <vt:lpstr>GewichtTafeln</vt:lpstr>
      <vt:lpstr>hyperlink</vt:lpstr>
      <vt:lpstr>KuferSockelknie</vt:lpstr>
      <vt:lpstr>Kupfer</vt:lpstr>
      <vt:lpstr>Kupferablaufrohre</vt:lpstr>
      <vt:lpstr>KupferAblaufrohrschelle</vt:lpstr>
      <vt:lpstr>KupferBand</vt:lpstr>
      <vt:lpstr>KupferBandLochblech</vt:lpstr>
      <vt:lpstr>KupferBandTafel</vt:lpstr>
      <vt:lpstr>Kupferdachrinne</vt:lpstr>
      <vt:lpstr>Kupferdachrinnen</vt:lpstr>
      <vt:lpstr>KupferEinhang</vt:lpstr>
      <vt:lpstr>KupferFallrohrabzweig</vt:lpstr>
      <vt:lpstr>Kupferkastendachrinnen</vt:lpstr>
      <vt:lpstr>KupferKastenEinhang</vt:lpstr>
      <vt:lpstr>KupferKastenRinnenboden</vt:lpstr>
      <vt:lpstr>KupferKastenRinnendilla</vt:lpstr>
      <vt:lpstr>KupferKastenrinnenwinkel</vt:lpstr>
      <vt:lpstr>KupferLochblech</vt:lpstr>
      <vt:lpstr>KupferReduzierung</vt:lpstr>
      <vt:lpstr>KupferRegenwasserklappe</vt:lpstr>
      <vt:lpstr>Kupferrinnenboden</vt:lpstr>
      <vt:lpstr>Kupferrinnendilla</vt:lpstr>
      <vt:lpstr>Kupferrinnenwinkel</vt:lpstr>
      <vt:lpstr>KupferRohrbogen</vt:lpstr>
      <vt:lpstr>Kupferrolafix</vt:lpstr>
      <vt:lpstr>KupferStand</vt:lpstr>
      <vt:lpstr>KupferSteckmuffe</vt:lpstr>
      <vt:lpstr>KupferummKastenRinnenhaken</vt:lpstr>
      <vt:lpstr>Kupferummrinnenhaken</vt:lpstr>
      <vt:lpstr>KupferWasserfang</vt:lpstr>
      <vt:lpstr>KupferWassersammler</vt:lpstr>
      <vt:lpstr>LORO</vt:lpstr>
      <vt:lpstr>LOROAnschluss</vt:lpstr>
      <vt:lpstr>LORObogen</vt:lpstr>
      <vt:lpstr>LORODicht</vt:lpstr>
      <vt:lpstr>LOROGleit</vt:lpstr>
      <vt:lpstr>LORORegenstandrohrMIT</vt:lpstr>
      <vt:lpstr>LOROregenstandrohrOHNE</vt:lpstr>
      <vt:lpstr>LORORohr</vt:lpstr>
      <vt:lpstr>LORORosch</vt:lpstr>
      <vt:lpstr>LOROSIEB</vt:lpstr>
      <vt:lpstr>LOROVERBINDER</vt:lpstr>
      <vt:lpstr>LOROWASSER</vt:lpstr>
      <vt:lpstr>MASCBlechknabber</vt:lpstr>
      <vt:lpstr>MASCMontageeisen</vt:lpstr>
      <vt:lpstr>MASCÖsenschraubendreher</vt:lpstr>
      <vt:lpstr>MASCRinnenzwinge</vt:lpstr>
      <vt:lpstr>MASCStockschraubeneindreher</vt:lpstr>
      <vt:lpstr>MASCWulstausbeuler</vt:lpstr>
      <vt:lpstr>Name</vt:lpstr>
      <vt:lpstr>Rinnenhaken</vt:lpstr>
      <vt:lpstr>Rundholz</vt:lpstr>
      <vt:lpstr>SchneefangRohr322</vt:lpstr>
      <vt:lpstr>STUBAIAhle</vt:lpstr>
      <vt:lpstr>STUBAIAnreißschablone</vt:lpstr>
      <vt:lpstr>STUBAIBogenzirkel</vt:lpstr>
      <vt:lpstr>STUBAIDachrinnenzange</vt:lpstr>
      <vt:lpstr>STUBAIDeckzange</vt:lpstr>
      <vt:lpstr>STUBAIFalzzange</vt:lpstr>
      <vt:lpstr>STUBAIFlachzange</vt:lpstr>
      <vt:lpstr>STUBAIHammer</vt:lpstr>
      <vt:lpstr>STUBAILötwasserflasche</vt:lpstr>
      <vt:lpstr>STUBAIQuetzfalzzange</vt:lpstr>
      <vt:lpstr>STUBAIReißnadel</vt:lpstr>
      <vt:lpstr>STUBAIRestrollenklammer</vt:lpstr>
      <vt:lpstr>STUBAIRinnenschnurr</vt:lpstr>
      <vt:lpstr>STUBAIRundlochschere</vt:lpstr>
      <vt:lpstr>STUBAIRundzange</vt:lpstr>
      <vt:lpstr>STUBAISchaleisen</vt:lpstr>
      <vt:lpstr>STUBAISchere</vt:lpstr>
      <vt:lpstr>STUBAITraufenschließer</vt:lpstr>
      <vt:lpstr>STUBAIWinkeldoppelfalzer</vt:lpstr>
      <vt:lpstr>STUBAIZange</vt:lpstr>
      <vt:lpstr>UgiAblaufrohre</vt:lpstr>
      <vt:lpstr>UgiDachrinne</vt:lpstr>
      <vt:lpstr>UgiEinhang</vt:lpstr>
      <vt:lpstr>UgiFallrohr</vt:lpstr>
      <vt:lpstr>UginoxBand</vt:lpstr>
      <vt:lpstr>UginoxBandLochblech</vt:lpstr>
      <vt:lpstr>UginoxBandTafeln</vt:lpstr>
      <vt:lpstr>UginoxLochblech</vt:lpstr>
      <vt:lpstr>UginoxRedu</vt:lpstr>
      <vt:lpstr>UginoxReduzierung</vt:lpstr>
      <vt:lpstr>UgiRegenwasser</vt:lpstr>
      <vt:lpstr>UgiRinnenboden</vt:lpstr>
      <vt:lpstr>UgiRinnenhaken</vt:lpstr>
      <vt:lpstr>UgiRinnenwinkel</vt:lpstr>
      <vt:lpstr>UgiRohrbogen</vt:lpstr>
      <vt:lpstr>UgiRohrschelle</vt:lpstr>
      <vt:lpstr>UgiRolafix</vt:lpstr>
      <vt:lpstr>UgiStand</vt:lpstr>
      <vt:lpstr>UgiTopBand</vt:lpstr>
      <vt:lpstr>UgitopBandV4A</vt:lpstr>
      <vt:lpstr>UgitopV4A</vt:lpstr>
      <vt:lpstr>UgiWasser</vt:lpstr>
      <vt:lpstr>UgiWassersammler</vt:lpstr>
      <vt:lpstr>VerzBandBesch</vt:lpstr>
      <vt:lpstr>VerzBandblank</vt:lpstr>
      <vt:lpstr>VerzBandTafel</vt:lpstr>
      <vt:lpstr>verzRinnenhaken</vt:lpstr>
      <vt:lpstr>verzRohrschelle</vt:lpstr>
      <vt:lpstr>VerzTafelblank</vt:lpstr>
      <vt:lpstr>Wirrgelege</vt:lpstr>
      <vt:lpstr>ZinkAblaufrohr</vt:lpstr>
      <vt:lpstr>ZinkBand</vt:lpstr>
      <vt:lpstr>ZinkBankTafel</vt:lpstr>
      <vt:lpstr>ZinkDachrinne</vt:lpstr>
      <vt:lpstr>ZinkEinhang</vt:lpstr>
      <vt:lpstr>ZinkFallrohrabzweig</vt:lpstr>
      <vt:lpstr>ZinkRedu</vt:lpstr>
      <vt:lpstr>ZinkRegenwassersammler</vt:lpstr>
      <vt:lpstr>ZinkRinnenboden</vt:lpstr>
      <vt:lpstr>ZinkRinnendilla</vt:lpstr>
      <vt:lpstr>ZinkRinnenhaken</vt:lpstr>
      <vt:lpstr>ZinkRinnenwinkel</vt:lpstr>
      <vt:lpstr>ZinkRohrbogen</vt:lpstr>
      <vt:lpstr>ZinkRohrschelle</vt:lpstr>
      <vt:lpstr>ZinkRolafix</vt:lpstr>
      <vt:lpstr>ZinkStand</vt:lpstr>
      <vt:lpstr>ZinkSteck</vt:lpstr>
      <vt:lpstr>ZinkWasserfang</vt:lpstr>
      <vt:lpstr>ZubehörDeckstifte</vt:lpstr>
      <vt:lpstr>ZubehörDübel</vt:lpstr>
      <vt:lpstr>ZubehörFallprovisorium</vt:lpstr>
      <vt:lpstr>ZubehörFalzdichtband</vt:lpstr>
      <vt:lpstr>ZubehörHaften</vt:lpstr>
      <vt:lpstr>ZubehörKiesleisten</vt:lpstr>
      <vt:lpstr>ZubehörLaubsieb</vt:lpstr>
      <vt:lpstr>ZubehörLötzinn</vt:lpstr>
      <vt:lpstr>ZubehörMetallkleber</vt:lpstr>
      <vt:lpstr>ZubehörMontageplatte</vt:lpstr>
      <vt:lpstr>ZubehörPaslode</vt:lpstr>
      <vt:lpstr>ZubehörRinnenhakennägel</vt:lpstr>
      <vt:lpstr>ZubehörRundedelstahl</vt:lpstr>
      <vt:lpstr>ZubehörSchneefang</vt:lpstr>
      <vt:lpstr>ZubehörSchneefangEishalter</vt:lpstr>
      <vt:lpstr>ZubehörSchneefangrohr</vt:lpstr>
      <vt:lpstr>ZubehörSpenglerschrauben</vt:lpstr>
      <vt:lpstr>ZubehörStockschrauben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Tobias Poetz</dc:creator>
  <cp:lastModifiedBy>Tobias Poetz</cp:lastModifiedBy>
  <cp:lastPrinted>2022-07-11T10:03:50Z</cp:lastPrinted>
  <dcterms:created xsi:type="dcterms:W3CDTF">2021-05-18T05:32:58Z</dcterms:created>
  <dcterms:modified xsi:type="dcterms:W3CDTF">2023-05-08T11:51:57Z</dcterms:modified>
</cp:coreProperties>
</file>